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m-smb\Direzione\COORDINAMENTO\0 Trasparenza\ANTICORRUZIONE E TRASPARENZA\2025\TRASPARENZA\Art. 30_introiti MENSILE\12. Dicembre\per pubblicazione\"/>
    </mc:Choice>
  </mc:AlternateContent>
  <xr:revisionPtr revIDLastSave="0" documentId="13_ncr:1_{984F13FA-2D4F-4D58-882F-40B9D393E9A3}" xr6:coauthVersionLast="47" xr6:coauthVersionMax="47" xr10:uidLastSave="{00000000-0000-0000-0000-000000000000}"/>
  <bookViews>
    <workbookView xWindow="-108" yWindow="-108" windowWidth="23256" windowHeight="12456" xr2:uid="{668F3124-F087-4900-9587-D63F5E6163D4}"/>
  </bookViews>
  <sheets>
    <sheet name="M1" sheetId="1" r:id="rId1"/>
    <sheet name="M2" sheetId="2" r:id="rId2"/>
    <sheet name="M3" sheetId="3" r:id="rId3"/>
    <sheet name="M4" sheetId="4" r:id="rId4"/>
    <sheet name="M5" sheetId="5" r:id="rId5"/>
    <sheet name="M6" sheetId="6" r:id="rId6"/>
    <sheet name="M7" sheetId="7" r:id="rId7"/>
    <sheet name="M8" sheetId="8" r:id="rId8"/>
    <sheet name="M9" sheetId="9" r:id="rId9"/>
    <sheet name="TOTALE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9" l="1"/>
  <c r="E72" i="9"/>
  <c r="D70" i="9"/>
  <c r="F63" i="9"/>
  <c r="E63" i="9"/>
  <c r="F55" i="9"/>
  <c r="E55" i="9"/>
  <c r="F36" i="9"/>
  <c r="E36" i="9"/>
  <c r="F70" i="9"/>
  <c r="E70" i="9"/>
  <c r="F68" i="9"/>
  <c r="E68" i="9"/>
  <c r="D68" i="9"/>
  <c r="F65" i="9"/>
  <c r="E65" i="9"/>
  <c r="D65" i="9"/>
  <c r="D63" i="9"/>
  <c r="F59" i="9"/>
  <c r="E59" i="9"/>
  <c r="D59" i="9"/>
  <c r="D55" i="9"/>
  <c r="D36" i="9"/>
  <c r="D72" i="9" l="1"/>
  <c r="F74" i="8"/>
  <c r="E74" i="8"/>
  <c r="D74" i="8"/>
  <c r="F72" i="8"/>
  <c r="E72" i="8"/>
  <c r="D72" i="8"/>
  <c r="F70" i="8"/>
  <c r="E70" i="8"/>
  <c r="D70" i="8"/>
  <c r="F68" i="8"/>
  <c r="E68" i="8"/>
  <c r="D68" i="8"/>
  <c r="F66" i="8"/>
  <c r="E66" i="8"/>
  <c r="E63" i="8"/>
  <c r="E57" i="8"/>
  <c r="E50" i="8"/>
  <c r="D66" i="8"/>
  <c r="F63" i="8"/>
  <c r="D63" i="8"/>
  <c r="F55" i="8"/>
  <c r="D55" i="8"/>
  <c r="F53" i="8"/>
  <c r="D53" i="8"/>
  <c r="F51" i="8"/>
  <c r="F57" i="8" s="1"/>
  <c r="D51" i="8"/>
  <c r="F49" i="8"/>
  <c r="D49" i="8"/>
  <c r="F48" i="8"/>
  <c r="D48" i="8"/>
  <c r="F47" i="8"/>
  <c r="D47" i="8"/>
  <c r="F46" i="8"/>
  <c r="D46" i="8"/>
  <c r="F45" i="8"/>
  <c r="D45" i="8"/>
  <c r="F44" i="8"/>
  <c r="D44" i="8"/>
  <c r="F43" i="8"/>
  <c r="D43" i="8"/>
  <c r="F42" i="8"/>
  <c r="D42" i="8"/>
  <c r="F41" i="8"/>
  <c r="D41" i="8"/>
  <c r="F40" i="8"/>
  <c r="D40" i="8"/>
  <c r="F37" i="8"/>
  <c r="D37" i="8"/>
  <c r="F36" i="8"/>
  <c r="D36" i="8"/>
  <c r="F35" i="8"/>
  <c r="D35" i="8"/>
  <c r="F34" i="8"/>
  <c r="D34" i="8"/>
  <c r="D28" i="8"/>
  <c r="D27" i="8"/>
  <c r="D26" i="8"/>
  <c r="D25" i="8"/>
  <c r="F24" i="8"/>
  <c r="D24" i="8"/>
  <c r="F23" i="8"/>
  <c r="D23" i="8"/>
  <c r="F22" i="8"/>
  <c r="D22" i="8"/>
  <c r="F21" i="8"/>
  <c r="D21" i="8"/>
  <c r="F20" i="8"/>
  <c r="D20" i="8"/>
  <c r="F18" i="8"/>
  <c r="D18" i="8"/>
  <c r="F16" i="8"/>
  <c r="D16" i="8"/>
  <c r="F15" i="8"/>
  <c r="D15" i="8"/>
  <c r="F14" i="8"/>
  <c r="D14" i="8"/>
  <c r="F13" i="8"/>
  <c r="D13" i="8"/>
  <c r="F12" i="8"/>
  <c r="F50" i="8" s="1"/>
  <c r="D12" i="8"/>
  <c r="D10" i="8"/>
  <c r="D9" i="8"/>
  <c r="D57" i="8" l="1"/>
  <c r="D50" i="8"/>
  <c r="F121" i="7" l="1"/>
  <c r="E121" i="7"/>
  <c r="D115" i="7"/>
  <c r="F106" i="7"/>
  <c r="E106" i="7"/>
  <c r="E102" i="7"/>
  <c r="E100" i="7"/>
  <c r="D100" i="7"/>
  <c r="F100" i="7"/>
  <c r="F119" i="7"/>
  <c r="E119" i="7"/>
  <c r="D119" i="7"/>
  <c r="F117" i="7"/>
  <c r="E117" i="7"/>
  <c r="D117" i="7"/>
  <c r="F115" i="7"/>
  <c r="E115" i="7"/>
  <c r="F111" i="7"/>
  <c r="D111" i="7"/>
  <c r="D110" i="7"/>
  <c r="E109" i="7"/>
  <c r="D109" i="7"/>
  <c r="D108" i="7"/>
  <c r="D112" i="7" s="1"/>
  <c r="F107" i="7"/>
  <c r="F112" i="7" s="1"/>
  <c r="E107" i="7"/>
  <c r="D107" i="7"/>
  <c r="D106" i="7"/>
  <c r="F102" i="7"/>
  <c r="D102" i="7"/>
  <c r="D99" i="7"/>
  <c r="D96" i="7"/>
  <c r="D95" i="7"/>
  <c r="D94" i="7"/>
  <c r="D92" i="7"/>
  <c r="D91" i="7"/>
  <c r="D90" i="7"/>
  <c r="D89" i="7"/>
  <c r="D88" i="7"/>
  <c r="D86" i="7"/>
  <c r="D84" i="7"/>
  <c r="D83" i="7"/>
  <c r="D82" i="7"/>
  <c r="D81" i="7"/>
  <c r="D78" i="7"/>
  <c r="D77" i="7"/>
  <c r="D76" i="7"/>
  <c r="D75" i="7"/>
  <c r="D73" i="7"/>
  <c r="D72" i="7"/>
  <c r="D71" i="7"/>
  <c r="D70" i="7"/>
  <c r="D69" i="7"/>
  <c r="D66" i="7"/>
  <c r="D65" i="7"/>
  <c r="D64" i="7"/>
  <c r="D63" i="7"/>
  <c r="D62" i="7"/>
  <c r="D61" i="7"/>
  <c r="D58" i="7"/>
  <c r="D57" i="7"/>
  <c r="D56" i="7"/>
  <c r="D55" i="7"/>
  <c r="D52" i="7"/>
  <c r="D51" i="7"/>
  <c r="D50" i="7"/>
  <c r="D49" i="7"/>
  <c r="D47" i="7"/>
  <c r="D45" i="7"/>
  <c r="D44" i="7"/>
  <c r="D43" i="7"/>
  <c r="D40" i="7"/>
  <c r="D35" i="7"/>
  <c r="D34" i="7"/>
  <c r="D33" i="7"/>
  <c r="D32" i="7"/>
  <c r="D31" i="7"/>
  <c r="D28" i="7"/>
  <c r="D27" i="7"/>
  <c r="D26" i="7"/>
  <c r="D25" i="7"/>
  <c r="D23" i="7"/>
  <c r="D21" i="7"/>
  <c r="D19" i="7"/>
  <c r="D18" i="7"/>
  <c r="D17" i="7"/>
  <c r="D16" i="7"/>
  <c r="D15" i="7"/>
  <c r="D14" i="7"/>
  <c r="D13" i="7"/>
  <c r="D11" i="7"/>
  <c r="D10" i="7"/>
  <c r="D9" i="7"/>
  <c r="D8" i="7"/>
  <c r="D121" i="7" l="1"/>
  <c r="E112" i="7"/>
  <c r="F111" i="6" l="1"/>
  <c r="E111" i="6"/>
  <c r="D111" i="6"/>
  <c r="E109" i="6"/>
  <c r="F107" i="6"/>
  <c r="E107" i="6"/>
  <c r="F95" i="6"/>
  <c r="E95" i="6"/>
  <c r="F91" i="6"/>
  <c r="E91" i="6"/>
  <c r="F88" i="6"/>
  <c r="E88" i="6"/>
  <c r="D88" i="6"/>
  <c r="F84" i="6"/>
  <c r="E84" i="6"/>
  <c r="E61" i="6"/>
  <c r="F109" i="6"/>
  <c r="D109" i="6"/>
  <c r="D107" i="6"/>
  <c r="D95" i="6"/>
  <c r="D91" i="6"/>
  <c r="D84" i="6"/>
  <c r="F61" i="6"/>
  <c r="D61" i="6"/>
  <c r="F98" i="5" l="1"/>
  <c r="E98" i="5"/>
  <c r="F85" i="5"/>
  <c r="D85" i="5"/>
  <c r="F80" i="5"/>
  <c r="E80" i="5"/>
  <c r="E70" i="5"/>
  <c r="F96" i="5"/>
  <c r="E96" i="5"/>
  <c r="D96" i="5"/>
  <c r="F94" i="5"/>
  <c r="E94" i="5"/>
  <c r="D94" i="5"/>
  <c r="F92" i="5"/>
  <c r="E92" i="5"/>
  <c r="D92" i="5"/>
  <c r="F90" i="5"/>
  <c r="E90" i="5"/>
  <c r="D90" i="5"/>
  <c r="E85" i="5"/>
  <c r="D77" i="5"/>
  <c r="D80" i="5" s="1"/>
  <c r="F70" i="5"/>
  <c r="D69" i="5"/>
  <c r="D68" i="5"/>
  <c r="D66" i="5"/>
  <c r="D65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1" i="5"/>
  <c r="D39" i="5"/>
  <c r="D38" i="5"/>
  <c r="D36" i="5"/>
  <c r="D34" i="5"/>
  <c r="D33" i="5"/>
  <c r="D32" i="5"/>
  <c r="D31" i="5"/>
  <c r="D27" i="5"/>
  <c r="D26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70" i="5" s="1"/>
  <c r="D11" i="5"/>
  <c r="D9" i="5"/>
  <c r="D8" i="5"/>
  <c r="D98" i="5" l="1"/>
  <c r="F90" i="4" l="1"/>
  <c r="E90" i="4"/>
  <c r="F80" i="4"/>
  <c r="E80" i="4"/>
  <c r="F76" i="4"/>
  <c r="E72" i="4"/>
  <c r="F88" i="4"/>
  <c r="E88" i="4"/>
  <c r="D88" i="4"/>
  <c r="F86" i="4"/>
  <c r="E86" i="4"/>
  <c r="D86" i="4"/>
  <c r="F84" i="4"/>
  <c r="E84" i="4"/>
  <c r="D84" i="4"/>
  <c r="F82" i="4"/>
  <c r="E82" i="4"/>
  <c r="D82" i="4"/>
  <c r="D80" i="4"/>
  <c r="E76" i="4"/>
  <c r="D76" i="4"/>
  <c r="F72" i="4"/>
  <c r="D72" i="4"/>
  <c r="D90" i="4" l="1"/>
  <c r="F121" i="3" l="1"/>
  <c r="E121" i="3"/>
  <c r="D121" i="3"/>
  <c r="F119" i="3"/>
  <c r="E119" i="3"/>
  <c r="D119" i="3"/>
  <c r="F117" i="3"/>
  <c r="E117" i="3"/>
  <c r="D117" i="3"/>
  <c r="F115" i="3"/>
  <c r="E115" i="3"/>
  <c r="D115" i="3"/>
  <c r="F113" i="3"/>
  <c r="E113" i="3"/>
  <c r="D113" i="3"/>
  <c r="F111" i="3"/>
  <c r="E111" i="3"/>
  <c r="D111" i="3"/>
  <c r="F107" i="3"/>
  <c r="E107" i="3"/>
  <c r="D107" i="3"/>
  <c r="F102" i="3"/>
  <c r="F123" i="3" s="1"/>
  <c r="E102" i="3"/>
  <c r="D102" i="3"/>
  <c r="E123" i="3" l="1"/>
  <c r="D123" i="3"/>
  <c r="F79" i="2"/>
  <c r="F81" i="2" s="1"/>
  <c r="E79" i="2"/>
  <c r="F77" i="2"/>
  <c r="F72" i="2"/>
  <c r="E72" i="2"/>
  <c r="F70" i="2"/>
  <c r="E70" i="2"/>
  <c r="F68" i="2"/>
  <c r="E68" i="2"/>
  <c r="E64" i="2"/>
  <c r="E59" i="2"/>
  <c r="D79" i="2"/>
  <c r="D77" i="2"/>
  <c r="E76" i="2"/>
  <c r="E77" i="2" s="1"/>
  <c r="D72" i="2"/>
  <c r="D70" i="2"/>
  <c r="D68" i="2"/>
  <c r="F64" i="2"/>
  <c r="D64" i="2"/>
  <c r="F59" i="2"/>
  <c r="D59" i="2"/>
  <c r="E81" i="2" l="1"/>
  <c r="D81" i="2"/>
  <c r="G68" i="1"/>
  <c r="F68" i="1"/>
  <c r="E68" i="1"/>
  <c r="G66" i="1"/>
  <c r="F66" i="1"/>
  <c r="E66" i="1"/>
  <c r="G62" i="1"/>
  <c r="F62" i="1"/>
  <c r="F56" i="1"/>
  <c r="F30" i="1"/>
  <c r="G64" i="1" l="1"/>
  <c r="F64" i="1"/>
  <c r="F70" i="1" s="1"/>
  <c r="E64" i="1"/>
  <c r="E62" i="1"/>
  <c r="G56" i="1"/>
  <c r="E56" i="1"/>
  <c r="G30" i="1"/>
  <c r="G70" i="1" s="1"/>
  <c r="E30" i="1"/>
  <c r="E70" i="1" s="1"/>
</calcChain>
</file>

<file path=xl/sharedStrings.xml><?xml version="1.0" encoding="utf-8"?>
<sst xmlns="http://schemas.openxmlformats.org/spreadsheetml/2006/main" count="1249" uniqueCount="649">
  <si>
    <t>Comune di Milano</t>
  </si>
  <si>
    <t>DIREZIONE SERVIZI CIVICI E MUNICIPI</t>
  </si>
  <si>
    <t xml:space="preserve">MUNICIPIO 1 </t>
  </si>
  <si>
    <t xml:space="preserve"> LOCALI SCOLASTICI E SPAZI MULTIUSO</t>
  </si>
  <si>
    <t>tipologia di procedimento</t>
  </si>
  <si>
    <t>tipologia
immobile/ area
indirizzo</t>
  </si>
  <si>
    <t>totale canoni percepiti a partire da gennaio 2025</t>
  </si>
  <si>
    <t>tariffa oraria pattuita</t>
  </si>
  <si>
    <t>numero totale contratti 
gestiti</t>
  </si>
  <si>
    <t>Note 
(ragioni per cui il canone percepito è superiore al canone annuo pattuito ed aventuali altre annotazioni)</t>
  </si>
  <si>
    <t>Istituto Comprensivo Diaz 
piazza C. Massaia, 2 - palestra 70%</t>
  </si>
  <si>
    <t>Istituto Comprensivo Diaz 
Via Crocefisso, 15 - palestra 70%</t>
  </si>
  <si>
    <t>Istituto Comprensivo Diaz 
Via Crocefisso, 15 - aula</t>
  </si>
  <si>
    <t>Istituto Comprensivo Diaz 
Via Sant'Orsola, 15 - aula</t>
  </si>
  <si>
    <t>Istituto Comprensivo Diaz 
Via Sant'Orsola, 15 - palestra 70%</t>
  </si>
  <si>
    <t>Istituto Comprensivo Cavalieri 
Via Ariberto, 14 - palestra 70%</t>
  </si>
  <si>
    <t>Istituto Comprensivo Cavalieri 
Via Ariberto, 14 - palestra</t>
  </si>
  <si>
    <t>Istituto Comprensivo Cavalieri 
Via Ariberto, 14 - aula 70%</t>
  </si>
  <si>
    <t>Istituto Comprensivo Cavalieri 
Via Ariberto, 14 - aula</t>
  </si>
  <si>
    <t>Istituto Comprensivo Pascoli 
Via Ruffini, 4/6 - aula</t>
  </si>
  <si>
    <t>Istituto Comprensivo Pascoli 
Via Ruffini, 4/6 - palestra 70%</t>
  </si>
  <si>
    <t xml:space="preserve">Istituto Comprensivo Giusti - D'Assisi                                                                                                                                                   Via Giusti, 15 - palestra 70%  </t>
  </si>
  <si>
    <t>Istituto Comprensivo Giusti - D'Assisi                                                                                                                                                   Via Giusti, 15 - aula</t>
  </si>
  <si>
    <t xml:space="preserve">Istituto Comprensivo Giusti - D'Assisi                                                                                                                                                   Via Palermo, 7/9 - palestra 70%  </t>
  </si>
  <si>
    <t xml:space="preserve">Istituto Comprensivo Giusti - D'Assisi                                                                                                                                                   Via Palermo, 7/9 - aula 70%  </t>
  </si>
  <si>
    <t>Istituto Comprensivo Commenda 
Via della Commenda, 22/a - palestra 70%</t>
  </si>
  <si>
    <t>Istituto Comprensivo Commenda 
Via della Commenda, 22/a - aula 70%</t>
  </si>
  <si>
    <t>Istituto Comprensivo Commenda
Via Quadronno, 32 - aula 70%</t>
  </si>
  <si>
    <t>2,030,72</t>
  </si>
  <si>
    <t>Istituto Comprensivo Commenda
Via Quadronno, 32 - palestra 70%</t>
  </si>
  <si>
    <t>Istituto Comprensivo Commenda 
c.SO DI Porta Romana, 112 - palestra 70%</t>
  </si>
  <si>
    <t xml:space="preserve">Istituto Comprensivo Cuoco - Sassi                                                                                                                                                                                    Via Corridoni, 34/36 - palestra 169 mq. </t>
  </si>
  <si>
    <t>Istituto Comprensivo Cuoco - Sassi                                                                                                                                                                                    Via Corridoni, 34/36 - palestra 169 mq 70%</t>
  </si>
  <si>
    <t>totale</t>
  </si>
  <si>
    <t>concessione in uso spazi multiuso</t>
  </si>
  <si>
    <t>C.A.M. GABELLE
Via San Marco, 4</t>
  </si>
  <si>
    <t>Salone Atrio</t>
  </si>
  <si>
    <t xml:space="preserve">tariffa minima fino a 4 ore per Enti del Terzo Settore + € 0,99 per ogni ora in più </t>
  </si>
  <si>
    <t xml:space="preserve">tariffa corrente per altre associazioni e libera utenza fino a 4 ore + € 3,70 per ogni ora in più </t>
  </si>
  <si>
    <t>Sala Pianoforte</t>
  </si>
  <si>
    <t xml:space="preserve">tariffa minima fino a 4 ore per Enti del Terzo Settore + € 0,87 per ogni ora in più </t>
  </si>
  <si>
    <t xml:space="preserve">tariffa massima fino a 4 ore per altre associazioni e libera utenza + € 2,50 per ogni ora in più </t>
  </si>
  <si>
    <t>Giocoteca</t>
  </si>
  <si>
    <t>Palestra</t>
  </si>
  <si>
    <t xml:space="preserve">tariffa massima fino a 4 ore per altre associazioni e libera utenza + € 3,70 per ogni ora in più </t>
  </si>
  <si>
    <t>C.A.M. SCALDASOLE
Via Scaldadole 3/A</t>
  </si>
  <si>
    <t>Salone</t>
  </si>
  <si>
    <t>Saletta</t>
  </si>
  <si>
    <t>C.A.M. ROMANA/
VIGENTINA
Corso di Porta Vigentina 15/A</t>
  </si>
  <si>
    <t>Sala A</t>
  </si>
  <si>
    <t>Sala B</t>
  </si>
  <si>
    <t xml:space="preserve">tariffa minima fino a 4 ore per Enti del Terzo Settore + € 1,20 per ogni ora in più </t>
  </si>
  <si>
    <t xml:space="preserve">tariffa massima fino a 4 ore per altre associazioni e libera utenza + € 5,00 per ogni ora in più </t>
  </si>
  <si>
    <t>C.A.M. GARIBALDI
Corso Garibaldi, 27</t>
  </si>
  <si>
    <t>Ludoteca</t>
  </si>
  <si>
    <t>Salone Piano Terra</t>
  </si>
  <si>
    <t>Salone 2° piano</t>
  </si>
  <si>
    <t xml:space="preserve">tariffa massima fino a 4 ore per altre associazioni e libera utenza  + € 2,50 per ogni ora in più </t>
  </si>
  <si>
    <t>C.A.M. GARIBALDI                                                                    Corso Garibaldi, 27</t>
  </si>
  <si>
    <t xml:space="preserve">salette </t>
  </si>
  <si>
    <t xml:space="preserve">'tariffa massima fino a 4 ore per altre associazioni e libera utenza  + € 2,50 per ogni ora in più </t>
  </si>
  <si>
    <t>IMMOBILI E AREE</t>
  </si>
  <si>
    <t>tipologia
immobile/ area 
indirizzo</t>
  </si>
  <si>
    <t>canone annuo pattuito</t>
  </si>
  <si>
    <t>Note
(ragioni per cui il canone percepito è superiore al canone annuo pattuito ed aventuali altre annotazioni)</t>
  </si>
  <si>
    <t>concessione d'uso immobili per progetti di sviluppo di attività culturali ed economiche</t>
  </si>
  <si>
    <t xml:space="preserve"> ATS Casa degli Artisti - Via T. da Cazzaniga/ C.so Garibaldi</t>
  </si>
  <si>
    <t>Effettuata rivalutazione annuale ISTAT sul canone annuo pattuito</t>
  </si>
  <si>
    <t>Yoga Sangha - C.so Porta Romana 116/B</t>
  </si>
  <si>
    <t>Cascina Nascosta - Viale Alemagna</t>
  </si>
  <si>
    <t>concessione impianti sportivi</t>
  </si>
  <si>
    <t>Mediolanum Tennis Squash Via Vincenzo Monti, 57 A/8</t>
  </si>
  <si>
    <t>Concessa proroga sino al 31 luglio 2025</t>
  </si>
  <si>
    <t>concessioni in uso di spazi diversi dai precedenti</t>
  </si>
  <si>
    <t>concessioni in comodato d'uso</t>
  </si>
  <si>
    <r>
      <rPr>
        <b/>
        <sz val="12"/>
        <color theme="1"/>
        <rFont val="Aptos Narrow"/>
        <family val="2"/>
        <scheme val="minor"/>
      </rPr>
      <t>TOTALE GENERALE</t>
    </r>
    <r>
      <rPr>
        <b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>importo comprensivo di I.V.A. ai sensi di legge</t>
    </r>
  </si>
  <si>
    <t>*Il documento è firmato digitalmente ai sensi del D. Lgs. 82/2005 s.m.i. e norme collegate e sostituisce il documento cartaceo e la firma autografa.</t>
  </si>
  <si>
    <t>nessuna concessione</t>
  </si>
  <si>
    <t>Milano, 9 gennaio 2026</t>
  </si>
  <si>
    <t>Originale  è conservato in atti presso la Direzione Servizi Civici e Municipi, Area Municipi</t>
  </si>
  <si>
    <t xml:space="preserve">INTROITI PER CONCESSIONI DI LOCALI SCOLASTICI, SPAZI MULTIUSO, IMMOBILI E AREE - PERIODO: GENNAIO - DICEMBRE  2025 - MUNICIPIO 1 </t>
  </si>
  <si>
    <t>INTROITI PER CONCESSIONI DI LOCALI SCOLASTICI, SPAZI MULTIUSO, IMMOBILI E AREE - PERIODO: GENNAIO - DICEMBRE 2025</t>
  </si>
  <si>
    <t>MUNICIPIO 2</t>
  </si>
  <si>
    <t>concessioni in uso di locali scolastici (per singolo plesso)</t>
  </si>
  <si>
    <t>PALESTRA GRANDE VIA PONTANO, 43 – C.P.I.A. 5</t>
  </si>
  <si>
    <t>PALESTRA VIA FARA, 32 – I.C. GALVANI</t>
  </si>
  <si>
    <t>PALESTRA VIA GALVANI, 7 – I.C. GALVANI</t>
  </si>
  <si>
    <t>Tra il numero totale dei contratti gestiti c'è stata 1 rinuncia</t>
  </si>
  <si>
    <t>AULA VIA GIACOSA, 46 – I.C. CAPPELLI</t>
  </si>
  <si>
    <t>PADIGLIONE BONGIOVANNI VIA GIACOSA, 46 – I.C. CAPPELLI</t>
  </si>
  <si>
    <t>PADIGLIONE GABELLI VIA GIACOSA, 46 – I.C. CAPPELLI</t>
  </si>
  <si>
    <t>PADIGLIONE GRIOLI VIA GIACOSA, 46 – I.C. CAPPELLI</t>
  </si>
  <si>
    <t>PADIGLIONE TOMMASEO VIA GIACOSA, 46 – I.C. CAPPELLI</t>
  </si>
  <si>
    <t>PADIGLIONE ZADRA VIA GIACOSA, 46 – I.C. CAPPELLI</t>
  </si>
  <si>
    <t>PALESTRA SOLARIUM VIA GIACOSA, 46 – I.C. CAPPELLI</t>
  </si>
  <si>
    <t>AULA VIA RUSSO, 23 – I.C. CAPPELLI</t>
  </si>
  <si>
    <t>PALESTRA VIA RUSSO, 23 – I.C. CAPPELLI</t>
  </si>
  <si>
    <t>AULA VIALE ZARA, 96 – I.C. ARBE-ZARA</t>
  </si>
  <si>
    <t>CORTILE VIALE ZARA, 96 – I.C. ARBE-ZARA</t>
  </si>
  <si>
    <t>PALESTRA VIALE ZARA, 96 – I.C. ARBE-ZARA</t>
  </si>
  <si>
    <t>AULA VIA CAGLIERO, 20 – I.C. FRANCESCHI</t>
  </si>
  <si>
    <t>PALESTRA VIA CAGLIERO, 20 – I.C. FRANCESCHI</t>
  </si>
  <si>
    <t>ATRIO VIA MUZIO, 5 – I.C. FRANCESCHI</t>
  </si>
  <si>
    <t>AUDITORIUM VIA MUZIO, 5 – I.C. FRANCESCHI</t>
  </si>
  <si>
    <t>CORTILE VIA MUZIO, 5 – I.C. FRANCESCHI</t>
  </si>
  <si>
    <t>PALESTRA A VIA MUZIO, 5 – I.C. FRANCESCHI</t>
  </si>
  <si>
    <t>PALESTRA B VIA MUZIO, 5 – I.C. FRANCESCHI</t>
  </si>
  <si>
    <t>AULA 1 VIA FRIGIA, 4 - I.C. CALVINO</t>
  </si>
  <si>
    <t>AULA 2 VIA FRIGIA, 4 - I.C. CALVINO</t>
  </si>
  <si>
    <t>PALESTRA VIA FRIGIA, 4 – I.C. CALVINO</t>
  </si>
  <si>
    <t>ATRIO VIA MATTEI, 12 – I.C. CALVINO</t>
  </si>
  <si>
    <t>PALESTRA VIA MATTEI, 12 – I.C. CALVINO</t>
  </si>
  <si>
    <t>TEATRINO VIA MATTEI, 12 – I.C. CALVINO</t>
  </si>
  <si>
    <t>AULA TEATRO VIA SANT’UGUZZONE, 10 – I.C. CALVINO</t>
  </si>
  <si>
    <t>PALESTRA VIA SANT’UGUZZONE, 10 – I.C. CALVINO</t>
  </si>
  <si>
    <t>PALESTRA VIA ADRIANO, 60 – I.C. PERASSO</t>
  </si>
  <si>
    <t>AULA VIA BOTTEGO, 4 – I.C. PERASSO</t>
  </si>
  <si>
    <t>PALESTRA VIA BOTTEGO, 4 – I.C. PERASSO</t>
  </si>
  <si>
    <t>ATRIO VIA SAN MAMETE, 11 – I.C. PERASSO</t>
  </si>
  <si>
    <t>PALESTRA VIA SAN MAMETE, 11 – I.C. PERASSO</t>
  </si>
  <si>
    <t>PALESTRINA VIA SAN MAMETE, 11 – I.C. PERASSO</t>
  </si>
  <si>
    <t>PALESTRA VIA BOTTELLI, 1 – I.C. LOCATELLI-QUASIMODO</t>
  </si>
  <si>
    <t>PALESTRA VIA DELLA GIUSTIZIA, 6 – I.C. LOCATELLI-QUASIMODO</t>
  </si>
  <si>
    <t>PALESTRA VIA CESALPINO, 38 – I.C. PAOLO E LARISSA PINI</t>
  </si>
  <si>
    <t>PALESTRA VIA CESALPINO, 40 – I.C. PAOLO E LARISSA PINI</t>
  </si>
  <si>
    <t>PALESTRA VIA SANT’ERLEMBARDO, 4 – I.C. PAOLO E LARISSA PINI</t>
  </si>
  <si>
    <t>PALESTRA VIA STEFANARDO DA VIMERCATE, 14 – I.C. PAOLO E LARISSA PINI</t>
  </si>
  <si>
    <t>AULA VIA VENINI, 80 – I.C. GIORGI</t>
  </si>
  <si>
    <t>PALESTRA VIA VENINI, 80 – I.C. GIORGI</t>
  </si>
  <si>
    <t>AULA VIALE BRIANZA, 18 – I.C. GIORGI</t>
  </si>
  <si>
    <t>PALESTRA ALTA VIALE BRIANZA, 18 – I.C. GIORGI</t>
  </si>
  <si>
    <t>PALESTRA BASSA VIALE BRIANZA, 18 – I.C. GIORGI</t>
  </si>
  <si>
    <t>CASCINA TURRO</t>
  </si>
  <si>
    <t>SALA ANFITEATRO MARTESANA</t>
  </si>
  <si>
    <t>SALA SANT’UGUZZONE</t>
  </si>
  <si>
    <t>CAM PADOVA</t>
  </si>
  <si>
    <t>concessione in uso particelle ortive</t>
  </si>
  <si>
    <t>ORTI Via Nuoro e  via Rho</t>
  </si>
  <si>
    <t>struttura monopiano ex edificio scolastico scuola materna/ Via Sant'Uguzzone, 8 concessionario ATI casa dei Giochi</t>
  </si>
  <si>
    <t>Anfiteatro Martesana / concessionario ETC Ecologia Turismo e Cultura</t>
  </si>
  <si>
    <t xml:space="preserve">Sono decurtate dal canone le spese inerenti gli interventi di recupero edilizio ed impiantistico del fabbricato. </t>
  </si>
  <si>
    <t xml:space="preserve">bar all'interno del Parco Franca Rame concessionario Ramunno Marco </t>
  </si>
  <si>
    <t xml:space="preserve">Alloggio custodia plesso scolastico via Frigia 4 - Associazione Sportiva Dilettantistica San  Gabriele Basket </t>
  </si>
  <si>
    <r>
      <rPr>
        <b/>
        <sz val="12"/>
        <color rgb="FF000000"/>
        <rFont val="Calibri"/>
        <family val="2"/>
        <charset val="1"/>
      </rPr>
      <t xml:space="preserve">TOTALE GENERALE
</t>
    </r>
    <r>
      <rPr>
        <sz val="11"/>
        <color theme="1"/>
        <rFont val="Aptos Narrow"/>
        <family val="2"/>
        <scheme val="minor"/>
      </rPr>
      <t>importo comprensivo di I.V.A. ai sensi di legge</t>
    </r>
  </si>
  <si>
    <t>Il Dirigente</t>
  </si>
  <si>
    <t>p. Dr. Giovanni Campana</t>
  </si>
  <si>
    <t>Dr.ssa Loredana Bellanca</t>
  </si>
  <si>
    <t>MUNICIPIO 3</t>
  </si>
  <si>
    <t>I.C Stoppani plesso primaria Bacone 
via Matteucci 3
Palestra grande</t>
  </si>
  <si>
    <t>A.S. 2024-2025</t>
  </si>
  <si>
    <t>A.S. 2025-2026</t>
  </si>
  <si>
    <t>I.C Stoppani plesso primaria Bacone 
via Matteucci 3
Palestra piccola</t>
  </si>
  <si>
    <t>I.C Stoppani plesso primaria Bacone 
via Matteucci 3
Aula Cinema</t>
  </si>
  <si>
    <t xml:space="preserve">€ 6,00
</t>
  </si>
  <si>
    <t>I.C Stoppani plesso primaria Bacone 
via Matteucci 3
Aula Tatami</t>
  </si>
  <si>
    <t>I.C Stoppani plesso primaria Stoppani 
via Stoppani 1
Palestra grande</t>
  </si>
  <si>
    <t xml:space="preserve">
€ 4,25</t>
  </si>
  <si>
    <t>I.C Stoppani plesso secondaria Caterina da Siena 
via Monteverdi 6
Palestra grande</t>
  </si>
  <si>
    <t>I.C. Scarpa plesso primaria Scarpa
via Clericetti 22
Palestra</t>
  </si>
  <si>
    <t>I.C. Scarpa plesso primaria Scarpa
via Clericetti 22
Aula</t>
  </si>
  <si>
    <t xml:space="preserve">€ 3,00
</t>
  </si>
  <si>
    <t>I.C. Scarpa plesso primaria Elsa Morante
via Pini 3
Palestra</t>
  </si>
  <si>
    <t xml:space="preserve">
€ 4,25
</t>
  </si>
  <si>
    <t>I.C. Scarpa plesso primaria Elsa Morante
via Pini 3
Aula</t>
  </si>
  <si>
    <t>I.C. Scarpa plesso secondaria Cairoli
via Pascal 35
Palestra</t>
  </si>
  <si>
    <t>I.C. Scarpa plesso secondaria Cairoli
via Pascal 35
Aula</t>
  </si>
  <si>
    <t>I.C. Scarpa plesso secondaria Cairoli
via Pascal 35
Aula cinema</t>
  </si>
  <si>
    <t>I.C Guido Galli primaria Nolli Arquati
V.le Romagna 16/18
Palestra superiore</t>
  </si>
  <si>
    <t xml:space="preserve">
€ 4,25
</t>
  </si>
  <si>
    <t>I.C Guido Galli primaria Nolli Arquati
V.le Romagna 16/18
Palestra inferiore</t>
  </si>
  <si>
    <t xml:space="preserve">I.C Guido Galli primaria Nolli Arquati
V.le Romagna 16/18
Aula </t>
  </si>
  <si>
    <t>I.C Guido Galli primaria Bonetti
via Tajani 12
Palestra</t>
  </si>
  <si>
    <t>I.C Guido Galli primaria Bonetti
via Tajani 12
Aula</t>
  </si>
  <si>
    <t>I.C Guido Galli primaria Toti
via Cima 15
Palestra</t>
  </si>
  <si>
    <t xml:space="preserve">
€ 4,25
</t>
  </si>
  <si>
    <t>I.C Guido Galli primaria Toti
via Cima 15
Aula</t>
  </si>
  <si>
    <t xml:space="preserve">I.C Maniago plesso primaria Munari
via Feltre 68
Palestra </t>
  </si>
  <si>
    <t>I.C Maniago plesso primaria Munari
via Feltre 68
Palestra Multiuso</t>
  </si>
  <si>
    <t>I.C Maniago plesso primaria Munari
via Feltre 68
Aula</t>
  </si>
  <si>
    <t>I.C Maniago plesso primaria Fermi
via Carnia 32
Palestra</t>
  </si>
  <si>
    <t>I.C Maniago plesso primaria Fermi
via Carnia 32
Aula</t>
  </si>
  <si>
    <t>I.C Maniago plesso secondaria Buzzati
via Maniago 30
Palestra grande</t>
  </si>
  <si>
    <t>I.C Maniago plesso secondaria Buzzati
via Maniago 30
Palestra piccola</t>
  </si>
  <si>
    <t>I.C Maniago plesso secondaria Buzzati
via Maniago 30
Aula</t>
  </si>
  <si>
    <t>I.C Pisacane plesso primaria Pisacane
via Pisacane 9
Palestra grande</t>
  </si>
  <si>
    <t>I.C Pisacane plesso primaria Pisacane
via Pisacane 9
Palestra piccola</t>
  </si>
  <si>
    <t>I.C Pisacane plesso primaria Pisacane
via Pisacane 9
Auditorium</t>
  </si>
  <si>
    <t>I.C Pisacane plesso primaria Pisacane
via Pisacane 9
Aula</t>
  </si>
  <si>
    <t>I.C Pisacane plesso secondaria Locatelli Oriani
via Pisacane 13
Palestra</t>
  </si>
  <si>
    <t>I.C Pisacane plesso secondaria Locatelli Oriani
via Pisacane 13
Aula</t>
  </si>
  <si>
    <t>I.C. Galvani plesso primaria M. di Savoia e C. Borromeo
via Casati 6
Palestra</t>
  </si>
  <si>
    <t>I.C. Galvani plesso primaria M. di Savoia e C. Borromeo
via Casati 6
Aula teatro</t>
  </si>
  <si>
    <t>I.C. Galvani plesso primaria M. di Savoia e C. Borromeo
via Casati 6
Aula pisicomotricita</t>
  </si>
  <si>
    <t>I.C. Galvani plesso primaria M. di Savoia e C. Borromeo
via Casati 6
Aula psicomotricità</t>
  </si>
  <si>
    <t>I.C. Quintino di Vona primaria Tito Speri
via Porpora 11
Palestra</t>
  </si>
  <si>
    <t>I.C. Quintino di Vona primaria Tito Speri
via Porpora 11
Aula</t>
  </si>
  <si>
    <t>I.C. Quintino di Vona secondaria
via Sacchini 34
Palestra</t>
  </si>
  <si>
    <t>I.C. Leonardo da Vinci
Piazza Leonardo da Vinvci
Aula</t>
  </si>
  <si>
    <t>I.C. Leonardo da Vinci
Piazza Leonardo da Vinvci
Palestra ovest</t>
  </si>
  <si>
    <t>I.C. Leonardo da Vinci
Piazza Leonardo da Vinvci
Palestra piccola</t>
  </si>
  <si>
    <t xml:space="preserve">Palestra
Via Pini 1
</t>
  </si>
  <si>
    <t>Spazio in carico al Municipio 3 gestito con la stessa procedura dei locali scolastici.
A.S. 2024-2025</t>
  </si>
  <si>
    <t>Spazio in carico al Municipio 3 gestito con la stessa procedura dei locali scolastici.
A.S. 2025-2026</t>
  </si>
  <si>
    <t>Via Sansovino, 9
Aula Consiliare</t>
  </si>
  <si>
    <t>Gratuità prevista con Delibera per le istituzioni scolastiche e i gruppi consiliari del Municipio 3.</t>
  </si>
  <si>
    <t>Via Valvassori Peroni, 56
Auditorium</t>
  </si>
  <si>
    <t>Orti ubicati in via Carlo Cazzanga</t>
  </si>
  <si>
    <t xml:space="preserve">Asegnazioni di nuovi orti </t>
  </si>
  <si>
    <t>Orti ubicati in via Canelli Folli</t>
  </si>
  <si>
    <t>I canoni saranno introitati alla scadenza dell'annualità ovvero aprile 2025 aggiornati all'indice ISTAT.</t>
  </si>
  <si>
    <t>Via Tucidide, 10
Centro sportivo Scarioni</t>
  </si>
  <si>
    <t xml:space="preserve">Corrispettivo contrattuale con adeguamento ISTAT riferito all'anno 2025.
Al netto di iva al 22%.
</t>
  </si>
  <si>
    <t>BAR
via Valvassori Peroni</t>
  </si>
  <si>
    <t>Nuovo contratto di concessione iniziato il 01/06/2024 dal 2° trimestre applicato indice ISTAT</t>
  </si>
  <si>
    <t>Il/La Responsabile Unità Coordinamento</t>
  </si>
  <si>
    <t>Municipio 3</t>
  </si>
  <si>
    <t>Dr.ssa  Elisabetta Pedratti</t>
  </si>
  <si>
    <t>La Responsabile Unità Coordinamento</t>
  </si>
  <si>
    <t>Milano, 7 gennaio 2026</t>
  </si>
  <si>
    <t>Milano, 21 gennaio 2026</t>
  </si>
  <si>
    <t>INTROITI PER CONCESSIONI DI LOCALI SCOLASTICI, SPAZI MULTIUSO, IMMOBILI E AREE - PERIODO: GENNAIO 2025 - DICEMBRE 2025</t>
  </si>
  <si>
    <t>MUNICIPIO 4</t>
  </si>
  <si>
    <t>Palestra Scuola Secondaria Via Mondolfo</t>
  </si>
  <si>
    <t>Palestra Scuola Primaria Via Sordello</t>
  </si>
  <si>
    <t xml:space="preserve">Salone Scuola Primaria Via Sordello </t>
  </si>
  <si>
    <t xml:space="preserve">Aula doposcuola Scuola Primaria Via Sordello </t>
  </si>
  <si>
    <t xml:space="preserve">Palestra Scuola Primaria L.go G. Gonzaga </t>
  </si>
  <si>
    <t xml:space="preserve">Aula sostegno Scuola Primaria L.go G. Gonzaga </t>
  </si>
  <si>
    <t>non utilizzato</t>
  </si>
  <si>
    <t>Aula Scuola Primaria L.go G. Gonzaga</t>
  </si>
  <si>
    <t>Palestra Scuola Primaria Via U. di Nemi</t>
  </si>
  <si>
    <t>Palestra piano terra Scuola Primaria Via Monte Piana</t>
  </si>
  <si>
    <t>Aula Scuola Primaria Via Monte Piana</t>
  </si>
  <si>
    <t xml:space="preserve">Palestra primo piano Scuola Primaria Via Monte Popera </t>
  </si>
  <si>
    <t>Palestra Scuola Secondaria Via Medici del Vascello</t>
  </si>
  <si>
    <t xml:space="preserve">Palestra Scuola Primaria Viale Mugello </t>
  </si>
  <si>
    <t xml:space="preserve">Laboratorio  Scuola Primaria Viale Mugello </t>
  </si>
  <si>
    <t xml:space="preserve">Aula Scuola Primaria Viale Mugello </t>
  </si>
  <si>
    <t xml:space="preserve">Aula docenti Scuola Primaria Viale Mugello </t>
  </si>
  <si>
    <t xml:space="preserve">Palestra Scuola Secondaria Via Cipro </t>
  </si>
  <si>
    <t xml:space="preserve">Palestra Scuola Primaria Via Polesine </t>
  </si>
  <si>
    <t xml:space="preserve">Palestra piano terra Scuola Primaria Via Oglio </t>
  </si>
  <si>
    <t xml:space="preserve">Palestra Scuola Secondaria Via Mincio </t>
  </si>
  <si>
    <t xml:space="preserve">Palestra  Scuola Primaria Via Monte Velino </t>
  </si>
  <si>
    <t>Auditorium Scuola Secondaria                     Tito Livio</t>
  </si>
  <si>
    <t xml:space="preserve">Palestra Scuola Secondaria Tito Livio </t>
  </si>
  <si>
    <t xml:space="preserve">Palestra piano terra Scuola Primaria Via Colletta </t>
  </si>
  <si>
    <t xml:space="preserve">Palestra primo piano Scuola Primaria Via Colletta </t>
  </si>
  <si>
    <t>Atrio primo piano lato ascensore Scuola Primaria Via Colletta</t>
  </si>
  <si>
    <t>Atrio primo piano lato materna Scuola Primaria Via Colletta</t>
  </si>
  <si>
    <t>Palestra grande Scuola Primaria Via Ravenna</t>
  </si>
  <si>
    <t xml:space="preserve">Palestra primo piano Scuola Primaria Via Morosini </t>
  </si>
  <si>
    <t xml:space="preserve">Palestra piano terra Scuola Primaria Via Morosini </t>
  </si>
  <si>
    <t xml:space="preserve">Laboratorio Psicomotricità Scuola Primaria Via Morosini </t>
  </si>
  <si>
    <t xml:space="preserve">Salone /Androne Scuola Primaria Via Morosini </t>
  </si>
  <si>
    <t>ID 82 AULA 2 SOSTEGNO MUSICA SCUOLA PRIMARIA VIA MOROSINI</t>
  </si>
  <si>
    <t xml:space="preserve"> ID 83 AULA 3 SOSTEGNO MUSICA SCUOLA PRIMARIA VIA MOROSINI </t>
  </si>
  <si>
    <t xml:space="preserve">ID 84 AULA 4 SOSTEGNO MUSICA SCUOLA PRIMARIA VIA MOROSINI </t>
  </si>
  <si>
    <t xml:space="preserve">Aula Scuola Primaria Via Morosini </t>
  </si>
  <si>
    <t xml:space="preserve">Aula musica Scuola Primaria Via Morosini </t>
  </si>
  <si>
    <t>Palestra Scuola Secondaria Via Bezzecca</t>
  </si>
  <si>
    <t>Palestra lato Mezzofanti Scuola Primaria Via Mezzofanti</t>
  </si>
  <si>
    <t xml:space="preserve">Palestra lato Devoto Scuola Primaria Via Mezzofanti </t>
  </si>
  <si>
    <t>AULA ORDINARIA SECONDO PIANO LATO DEVOTO PRIMARIA MEZZOFANTI</t>
  </si>
  <si>
    <t xml:space="preserve">Aula LIM n. 28 Scuola Primaria Via Mezzofanti </t>
  </si>
  <si>
    <t>Aula Scuola Primaria Via Mezzofanti</t>
  </si>
  <si>
    <t>Atrio Scuola Primaria Via Mezzofanti</t>
  </si>
  <si>
    <t xml:space="preserve">Palestra Scuola Secondaria Via Dalmazia </t>
  </si>
  <si>
    <t xml:space="preserve">Aula Scuola Secondaria Via Dalmazia </t>
  </si>
  <si>
    <t>Palestra piano rialzato Scuola Secondaria Via de Andreis</t>
  </si>
  <si>
    <t>Palestra piano seminterrato Scuola Secondaria Via de Andreis</t>
  </si>
  <si>
    <t xml:space="preserve">Palestra Scuola Primaria Via Decorati </t>
  </si>
  <si>
    <t>Aula Scuola Primaria Via Decorati</t>
  </si>
  <si>
    <t xml:space="preserve">Palestra Scuola Primaria Via Meleri </t>
  </si>
  <si>
    <t>Aula Pittura Scuola Primaria Via Meleri</t>
  </si>
  <si>
    <t xml:space="preserve">Aula e atrio  Scuola Primaria Via Meleri </t>
  </si>
  <si>
    <t>Palestra Scuola Secondaria Via Cova</t>
  </si>
  <si>
    <t xml:space="preserve">Palestra Scuola Primaria Via Martinengo </t>
  </si>
  <si>
    <t xml:space="preserve">Palestrina Scuola Primaria Via Martinengo </t>
  </si>
  <si>
    <t xml:space="preserve">Palestra Scuola Primaria Viale Puglie </t>
  </si>
  <si>
    <t>palestra della Scuola Secondaria  Via Mondolfo</t>
  </si>
  <si>
    <t>:ID54 PALESTRA SCUOLA SECONDARIAG.PASCOLI VIA COVA</t>
  </si>
  <si>
    <t xml:space="preserve"> ID 54 PALESTRA SCUOLA SECONDARIA PASCOLO VIA COVA</t>
  </si>
  <si>
    <t>CdQ Mondolfo</t>
  </si>
  <si>
    <t xml:space="preserve">non si tratta di una tariffa oraria, ma di una tariffa relativa ad un blocco di utilizzo di 4h a cui si aggiunge una tariffa oraria per ogni ora di utilizzo oltre  le prime 4 </t>
  </si>
  <si>
    <t>Salone del Polo Ferrara</t>
  </si>
  <si>
    <t xml:space="preserve">non si tratta di una tariffa oraria, ma di una tarifa relativa ad un blocco di utilizzo di 4h a cui si aggiunge una tariffa oraria per ogni ora di utilizzo oltre  le prime 4 </t>
  </si>
  <si>
    <t>CdQ Oglio</t>
  </si>
  <si>
    <t xml:space="preserve">'non si tratta di una tariffa oraria, ma di una tariffa relativa ad un blocco di utilizzo di 4h a cui si aggiunge una tariffa oraria per ogni ora di utilizzo oltre  le prime 4 </t>
  </si>
  <si>
    <t>Parco Alessandrini</t>
  </si>
  <si>
    <t>Parco G. Cassinis</t>
  </si>
  <si>
    <t>Nell'anno 2025 il canone è  stato rivalutato secondo l'indice ISTAT ( € 23.450,14) L'importo in tabella è comprensivo del primo e secondo acconto canone 2025</t>
  </si>
  <si>
    <t>Municipio 4</t>
  </si>
  <si>
    <t>*Dr. Tommaso Innocente</t>
  </si>
  <si>
    <t>MUNICIPIO 5</t>
  </si>
  <si>
    <t>ICS  ARCADIA - Via dell'Arcadia 22 
scuola primaria Arcadia 
palestra mq 847
aula psicomotricità mq 52</t>
  </si>
  <si>
    <t>ICS ARCADIA - Via dell'Arcadia 24 
scuola secondaria Arcadia 
palestra mq 848</t>
  </si>
  <si>
    <t>ICS ARCADIA - Via Baroni 73 (saponaro 36) 
scuola primaria Baroni 
palestra mq 260</t>
  </si>
  <si>
    <t>ICS ARCADIA Via Feraboli 44 
scuola Primaria Feraboli 
palestra grande mq 306 
palestra piccola mq 173
aula psicomotricità mq 54</t>
  </si>
  <si>
    <t>ICS BAROZZI Via Bocconi 17 
scuola primaria Barozzi 
palestra mq 264
aula sostegno mq 35 +aula 2 e 3</t>
  </si>
  <si>
    <t>ICS BAROZZI Via G. Romano 2 
scuola primaria Giulio Romano 
palestra mq 186</t>
  </si>
  <si>
    <t>ICS BAROZZI Via Vittadini 10 
Scuola Confalonieri 
palestra mq 286
aulapittura + aula 2</t>
  </si>
  <si>
    <t xml:space="preserve">IC CAPPONI Via Pescarenico 6 
Elementare "MORO" 
palestra mq 242 
aula teatro mq 96
aula ora alternativa mq 34
</t>
  </si>
  <si>
    <t xml:space="preserve">ICS Elsa Morante - Via Antonini 50 - Scuola primaria Damiano Chiesa 
palestra di mq 165
atrio rotondo 0 - 200 mq 
corridoio 200-500 mq
                                                          </t>
  </si>
  <si>
    <t>ICS Elsa Morante - Via dei Bognetti 15 
Scuola primaria 
palestra grande mq 374 
palestra piccola mq 280
aula mq 46
aula mq 17</t>
  </si>
  <si>
    <t>ICS Elsa Morante - Via Heine 2 
Scuola Secondaria 
palestra grande mq 436
palestra piccola mq 215</t>
  </si>
  <si>
    <t>ICS F. FILZI Via dei Guarneri 21 
scuola media Toscanini 
palestra mq 615</t>
  </si>
  <si>
    <t>ICS F. FILZI Via Wolf Ferrari 6 
Scuola primaria 
palestra mq 252 
salone mq 64</t>
  </si>
  <si>
    <t>IC PALMIERI Via Palmieri 24 
scuola primaria C. Battisti
palestra mq 180
aula mq 51</t>
  </si>
  <si>
    <t>IC PALMIERI Via S. Giacomo 1 
scuola primaria C. Peroni 
palestra mq 250 
palestrina psicomotricità mq 82 aula scacchi mq 40</t>
  </si>
  <si>
    <t>IC PALMIERI Via Boifava 52 
scuola secondaria 
S. Pertini 
palestra mq 263</t>
  </si>
  <si>
    <t>IC THOUAR GONZAGA via Brunacci 2/4
scuola primaria
palestra mq 176
aula mq 55</t>
  </si>
  <si>
    <t>IC THOUAR GONZAGA Via Gentilino 14  
scuola primaria 
Plesso Piolti de Bianchi - G. Stampa 
palestra mq 235 
n. 1 aula mq 25</t>
  </si>
  <si>
    <t>IC THOUAR GONZAGA Via Tabacchi 15/A 
scuola secondaria di I grado 
O. TABACCHI 
palestra mq 241</t>
  </si>
  <si>
    <t>Casa di Quartiere/Via Boifava,17</t>
  </si>
  <si>
    <t>Canone Gratuito</t>
  </si>
  <si>
    <t>Spazio piano Terra /Viale Tibaldi,41</t>
  </si>
  <si>
    <t>Casa di Quatiere /Viale Tibaldi,41</t>
  </si>
  <si>
    <t xml:space="preserve">Casa di Quartiere /Viale Tibaldi, 41 </t>
  </si>
  <si>
    <t>la tariffa è fissata, per atto interno, fino ad un massimo di 4 ore. Per slot aggiuntivi vi sono tariffe variabili</t>
  </si>
  <si>
    <t>Casa di Quartiere /Via Palmieri,20</t>
  </si>
  <si>
    <t xml:space="preserve">Casa di Quartiere /Via Verro, 87 </t>
  </si>
  <si>
    <t xml:space="preserve">Casa di Quartiere /Saponaro, 30 </t>
  </si>
  <si>
    <t>via della Chiesa Rossa n. 55 Milano</t>
  </si>
  <si>
    <t>Via San Bernardo n. 17 Milano</t>
  </si>
  <si>
    <t>via Campazzino</t>
  </si>
  <si>
    <t>via Teresa Noce</t>
  </si>
  <si>
    <t>via Selvanesco</t>
  </si>
  <si>
    <t>Per 4 orti pagati Euro 68,00 in più per sbaglio con canone di Valle - si detrarranno dal canone 2026</t>
  </si>
  <si>
    <t>via Vaiano Valle</t>
  </si>
  <si>
    <t>Municipio 5</t>
  </si>
  <si>
    <t>*Dr.ssa  Valeria Grazia Furnari</t>
  </si>
  <si>
    <t xml:space="preserve">INTROITI PER CONCESSIONI DI LOCALI SCOLASTICI, SPAZI MULTIUSO, IMMOBILI E AREE - PERIODO: GENNAIO - DICEMBRE 2025 </t>
  </si>
  <si>
    <t>Milano, 31 dicembre 2026</t>
  </si>
  <si>
    <t xml:space="preserve"> MUNICIPIO 6</t>
  </si>
  <si>
    <t>Scuola Primaria via Anemoni, 8 
Tariffa canone palestra</t>
  </si>
  <si>
    <t>Scuola Primaria via Anemoni, 8
 Tariffa canone aula</t>
  </si>
  <si>
    <t>Scuola Secondaria via Anemoni, 10 tariffa canone palestra</t>
  </si>
  <si>
    <t>Scuola Secondaria via Anemoni, 10 tariffa canone aula</t>
  </si>
  <si>
    <t>Scuola Primaria via dei Narcisi, 2
 Tariffa canone palestra</t>
  </si>
  <si>
    <t>Scuola Primaria via dei Narcisi, 2
 Tariffa canone aula</t>
  </si>
  <si>
    <t>Scuola Primaria via dei Narcisi, 2
 Tariffa canone giardino</t>
  </si>
  <si>
    <t>Scuola Primaria via Pisa 1
 Tariffa canone palestra</t>
  </si>
  <si>
    <t>Scuola Primaria via Pisa 1
 Tariffa canone aula</t>
  </si>
  <si>
    <t>Scuola Primaria via Pisa 1
 Tariffa canone refettorio</t>
  </si>
  <si>
    <t>Scuola Primaria via Pisa 1
 Tariffa canone giardino</t>
  </si>
  <si>
    <t>Scuola Primaria via Bergognone, 2/4 tariffa canone palestra</t>
  </si>
  <si>
    <t>Scuola Primaria via Bergognone, 2/4 tariffa canone aula</t>
  </si>
  <si>
    <t>Scuola Primaria via delle Foppette, 1 tariffa canone palestra</t>
  </si>
  <si>
    <t>Scuola Primaria via delle Foppette, 1 tariffa canone aula</t>
  </si>
  <si>
    <t>Scuola Primaria via delle Foppette, 1 tariffa canone aula magna</t>
  </si>
  <si>
    <t>Scuola Primaria via delle Foppette, 1 tariffa canone giardino</t>
  </si>
  <si>
    <t>Scuola Secondaria via De Nicola, 40 tariffa canone palestra</t>
  </si>
  <si>
    <t>Scuola Secondaria via De Nicola, 40 tariffa canone aula</t>
  </si>
  <si>
    <t>Scuola Primaria via De Nicola, 2
 Tariffa canone palestra</t>
  </si>
  <si>
    <t>Scuola Primaria via De Nicola, 2 
Tariffa canone aula</t>
  </si>
  <si>
    <t>Scuola Primaria via Tosi, 21 
Tariffa canone palestra</t>
  </si>
  <si>
    <t>Scuola Primaria via Tosi, 21 tariffa canone aula</t>
  </si>
  <si>
    <t>Scuola Primaria via Pestalozzi, 13
 Tariffa canone palestra</t>
  </si>
  <si>
    <t>Scuola Primaria via Pestalozzi, 13
 Tariffa canone aula</t>
  </si>
  <si>
    <t>Scuola Secondaria via R. Carriera, 12 tariffa canone palestra</t>
  </si>
  <si>
    <t>Scuola Secondaria via R. Carriera, 12 
Tariffa canone aula</t>
  </si>
  <si>
    <t>Scuola Secondaria via R. Carriera, 12 
Tariffa canone giardino</t>
  </si>
  <si>
    <t>Scuola Primaria via Vespri Siciliani 75 tariffa canone palestra</t>
  </si>
  <si>
    <t>Scuola Primaria via Vespri Siciliani 75 tariffa canone aula</t>
  </si>
  <si>
    <t>Scuola Primaria via Salerno, 3
 Tariffa canone palestra</t>
  </si>
  <si>
    <t>Scuola Primaria via Salerno, 3 
Tariffa canone aula</t>
  </si>
  <si>
    <t>Scuola Primaria via Salerno, 3 
Tariffa canone giardino</t>
  </si>
  <si>
    <t>Scuola Secondaria via Salerno, 1 
Tariffa canone palestra</t>
  </si>
  <si>
    <t>Scuola Secondaria via Salerno, 1 
Tariffa canone aula</t>
  </si>
  <si>
    <t>Scuola Secondaria via San Colombano 8 tariffa canone palestra</t>
  </si>
  <si>
    <t>Scuola Secondaria via San Colombano 8 tariffa canone aula</t>
  </si>
  <si>
    <t>Scuola Secondaria via San Colombano 8 tariffa canone giardino</t>
  </si>
  <si>
    <t>Scuola Primaria via Crivelli, 3 
Tariffa canone palestra</t>
  </si>
  <si>
    <t>Scuola Primaria via Crivelli, 3 
Tariffa canone aula</t>
  </si>
  <si>
    <t>Scuola Secondaria  via Crivelli, 3 
Tariffa canone palestra</t>
  </si>
  <si>
    <t>Scuola Secondaria  via Crivelli, 3
 Tariffa canone aula</t>
  </si>
  <si>
    <t>Scuola Secondaria via Scrosati, 4
 Tariffa canone palestra</t>
  </si>
  <si>
    <t>Scuola Secondaria via Scrosati, 4 
Tariffa canone aula</t>
  </si>
  <si>
    <t>Scuola Primaria via Scrosati, 3 
Tariffa canone palestra</t>
  </si>
  <si>
    <t>Scuola Primaria via Scrosati, 3
 Tariffa canone aula</t>
  </si>
  <si>
    <t>Scuola Primaria via Vigevano, 19
 Tariffa canone palestra</t>
  </si>
  <si>
    <t>Scuola Primaria via Vigevano, 19
 Tariffa canone aula</t>
  </si>
  <si>
    <t>Scuola Secondaria via Zuara, 7
 Tariffa canone palestra</t>
  </si>
  <si>
    <t>Scuola Secondaria via Zuara, 7 
Tariffa canone aula</t>
  </si>
  <si>
    <t>Scuola Primaria via Zuara, 9
 Tariffa canone palestra</t>
  </si>
  <si>
    <t>Scuola Primaria via Zuara, 9 
Tariffa canone aula</t>
  </si>
  <si>
    <t>Scuola Primaria via Zuara, 9
 Tariffa canone giardino</t>
  </si>
  <si>
    <t>ex Fornace tariffa gratuita
Alzaia Naviglio Pavese 16 - piano T</t>
  </si>
  <si>
    <t>ex Fornace tariffa minima
Alzaia Naviglio Pavese 16 - piano T</t>
  </si>
  <si>
    <t>ex Fornace tariffa massima
Alzaia Naviglio Pavese 16 - piano T</t>
  </si>
  <si>
    <t>per le prime 4 ore € 37,18;  la domenica e i festivi  si paga doppia tariffa; dopo le 22:00 viene applicata la tariffa notturna=festiva</t>
  </si>
  <si>
    <t>C.A.M.SAN PAOLINO  tariffa gratuita   via San Paolino  n. 18</t>
  </si>
  <si>
    <t>C.A.M.SAN PAOLINO  tariffa minima  via San Paolino  n. 18</t>
  </si>
  <si>
    <t>C.A.M. SAN PAOLINO tariffa massima via San Paolino n. 18</t>
  </si>
  <si>
    <t>C.A.M. Rudinì tariffa gratuita via Di Rudinì n. 14</t>
  </si>
  <si>
    <t>C.A.M. Rudinì tariffa minima via Di Rudinì n. 14</t>
  </si>
  <si>
    <t>C.A.M. Rudinì tariffa massima via Di Rudinì n. 14</t>
  </si>
  <si>
    <t>SALA CONSILIARE RENZO ORNELLA</t>
  </si>
  <si>
    <t>Seicentro Sala Arianna tariffa gratuita
Via Savona 99</t>
  </si>
  <si>
    <t>Seicentro sala Arianna tariffa minima
Via Savona 99</t>
  </si>
  <si>
    <t>Seicentro sala Arianna tariffa piena
Via Savona 99</t>
  </si>
  <si>
    <t xml:space="preserve">per le prime 4 ore € 24,76;  per la giornata intera € 99,19
</t>
  </si>
  <si>
    <t>Seicentro sala Arianna tariffa di mercato
Via Savona 99</t>
  </si>
  <si>
    <t>Seicentro Sala Calliope  tariffa grauita
Via Savona 99</t>
  </si>
  <si>
    <t>Seicentro sala Calliope tariffa minima
Via Savona 99</t>
  </si>
  <si>
    <t>Seicentro sala Calliope tariffa piena
Via Savona 99</t>
  </si>
  <si>
    <t>Seicentro sala Calliope  tariffa di mercato
Via Savona 99</t>
  </si>
  <si>
    <t>Seicentro sala Teseo  tariffa  gratuita
Via Savona 99</t>
  </si>
  <si>
    <t>Seicentro sala Teseo  tariffa  minima
Via Savona 99</t>
  </si>
  <si>
    <t>Seicentro sala Teseo  tariffa  
piena
Via Savona 99</t>
  </si>
  <si>
    <t>Seicentro sala Teseo  tariffa di mercato
Via Savona 99</t>
  </si>
  <si>
    <t xml:space="preserve">Orti Barona - via De Finetti/via Danusso </t>
  </si>
  <si>
    <t xml:space="preserve">Orti  Fontanili - via Gozzoli/via Parri </t>
  </si>
  <si>
    <t>via Bari 18</t>
  </si>
  <si>
    <t>canoni 2024 e 2025</t>
  </si>
  <si>
    <t>via Soderini 41/2</t>
  </si>
  <si>
    <t>canone 2025</t>
  </si>
  <si>
    <t>via Parenzo 2/1</t>
  </si>
  <si>
    <t>canone introitato per periodi 31/7/2021-30/7/2022
31/7/2023-31/7/2024
31/7/2024-31/7/2025</t>
  </si>
  <si>
    <t>ex casetta custode all'interno dell'ICS G. Capponi - via Tosi 21</t>
  </si>
  <si>
    <t>canone rivalutato per rinnovo concessione dal 14/3/2024 al 13/3/2027</t>
  </si>
  <si>
    <t>Centro Polifunzionale "Angelo Valdameri" TRE CASTELLI, via Martinelli n. 53 - Milano</t>
  </si>
  <si>
    <t>scomputo per iniziative realizzate</t>
  </si>
  <si>
    <t>Spazio Santi - via Santi 8 - Milano</t>
  </si>
  <si>
    <t>scomputo per opere realizzate</t>
  </si>
  <si>
    <t>CENTRO "IPR" (Istituto Pedagogico  della Resistenza)
Via degli Anemoni n. 6 - Milano</t>
  </si>
  <si>
    <t xml:space="preserve">scomputo per iniziative realizzate </t>
  </si>
  <si>
    <t>Casetta Odazio - via Odazio 7 - Milano</t>
  </si>
  <si>
    <t>Edicola Radetzky - Darsena, viale Gorizia - foglio 474/mapp.352 parte-</t>
  </si>
  <si>
    <t>gratuita</t>
  </si>
  <si>
    <t>Spazio Ex Deposito della Biblioteca di via S. Paolino 18- p. terra</t>
  </si>
  <si>
    <t>nuova concessione decorrenza 26/6/2024-25/6/2029</t>
  </si>
  <si>
    <t>La casa delle artiste - Spazio Alda Merini
via Magolfa 32 (foglio 437- mapp.629, 660 e 628)</t>
  </si>
  <si>
    <t>3 strutture all'interno dell'area a verde attrezzata di via Tobagi 4</t>
  </si>
  <si>
    <t xml:space="preserve"> scomputo per iniziative realizzate</t>
  </si>
  <si>
    <t>via Faenza 29</t>
  </si>
  <si>
    <t>Alzaia Naviglio Pavese 16 - 1° piano</t>
  </si>
  <si>
    <t xml:space="preserve">rata 2024e rata 2025 </t>
  </si>
  <si>
    <t>Il Responsabile Unità Coordinamento</t>
  </si>
  <si>
    <t>Municipio 6</t>
  </si>
  <si>
    <t>Dott. Andrea Zelioli</t>
  </si>
  <si>
    <t>Milano, 12 gennaio 2026</t>
  </si>
  <si>
    <t>INTROITI PER CONCESSIONI DI LOCALI SCOLASTICI, SPAZI MULTIUSO, IMMOBILI E AREE - PERIODO:  GENNAIO - DICEMBRE 2025</t>
  </si>
  <si>
    <t xml:space="preserve">MUNICIPIO 7 </t>
  </si>
  <si>
    <t>concessioni in uso di locali scolastici 
(per singolo plesso)</t>
  </si>
  <si>
    <t>Via Lamennais 20 - palestra</t>
  </si>
  <si>
    <t>Via Lamennais 20 - aula</t>
  </si>
  <si>
    <t>Via Lamennais 20 - cortile</t>
  </si>
  <si>
    <t>Via Constant 19 - palestra</t>
  </si>
  <si>
    <t>Via Airaghi 42 - palestra</t>
  </si>
  <si>
    <t>Via San Giusto 65 - palestra</t>
  </si>
  <si>
    <t>Via San Giusto 65 - Aula Tatami</t>
  </si>
  <si>
    <t>Via San Giusto 65 - Aula</t>
  </si>
  <si>
    <t>Via Rasori 19 - palestra</t>
  </si>
  <si>
    <t>Via Rasori 19 - aule</t>
  </si>
  <si>
    <t>Via Rasori 19 - palestrina</t>
  </si>
  <si>
    <t>Via Rasori 19 - cortile</t>
  </si>
  <si>
    <t>Via Mauri 10 - cortile</t>
  </si>
  <si>
    <t>Via Mauri 10 - palestra</t>
  </si>
  <si>
    <t>Via Mauri 10 - aule</t>
  </si>
  <si>
    <t>Via Colonna 42 - aule</t>
  </si>
  <si>
    <t>Via Colonna 42 - palestra</t>
  </si>
  <si>
    <t>Via Colonna 42 - palestrina</t>
  </si>
  <si>
    <t>Piazza Sicilia 2 - aula</t>
  </si>
  <si>
    <t>Piazza Sicilia 2 - palestra Seprio</t>
  </si>
  <si>
    <t>Piazza Sicilia 2 - Seprio/cortile</t>
  </si>
  <si>
    <t>Piazza Sicilia 2 - palestra Sacco/Sard</t>
  </si>
  <si>
    <t>Via Val D'Intelvi 11 - palestra</t>
  </si>
  <si>
    <t>Via Val D'Intelvi 11 - palestrina/teatro</t>
  </si>
  <si>
    <t>Via Milesi 4 - palestra</t>
  </si>
  <si>
    <t>Via Forze Armate 279 - palestra</t>
  </si>
  <si>
    <t>Via Forze Armate 279 - aula</t>
  </si>
  <si>
    <t>Via Valdagno 8 - aule</t>
  </si>
  <si>
    <t>Via Valdagno 8 - palestra</t>
  </si>
  <si>
    <t>Via Viterbo 31 - palestra</t>
  </si>
  <si>
    <t>Via Don Gnocchi 25 - palestra</t>
  </si>
  <si>
    <t>Via Don Gnocchi 25 - aule</t>
  </si>
  <si>
    <t>Via Don Gnocchi 25 - cortile</t>
  </si>
  <si>
    <t>Piazza Axum 5 - palestra</t>
  </si>
  <si>
    <t>Piazza Axum 5 - aule</t>
  </si>
  <si>
    <t>Via Paravia 83 - aula</t>
  </si>
  <si>
    <t>Via Delle Betulle 17 - palestra</t>
  </si>
  <si>
    <t>Via Dei Salici 2 - palestra</t>
  </si>
  <si>
    <t>Via Loria 37 - aula</t>
  </si>
  <si>
    <t>Via Loria 37 - palestra grande</t>
  </si>
  <si>
    <t>Via Loria 37 - palestra piccola</t>
  </si>
  <si>
    <t>Via Forze Armate 65 - aula</t>
  </si>
  <si>
    <t>Via Forze Armate 65 - palestra</t>
  </si>
  <si>
    <t>Via Martinetti 25 - palestra grande</t>
  </si>
  <si>
    <t>Via Martinetti 25 - palestra piccola</t>
  </si>
  <si>
    <t>Via Crimea 22 - palestra</t>
  </si>
  <si>
    <t>Via Montebaldo - palestra</t>
  </si>
  <si>
    <t>Via Montebaldo - aule</t>
  </si>
  <si>
    <t>Via C. Dolci 5 - palestra</t>
  </si>
  <si>
    <t>nessun contratto per rinuncia tardiva acconto dovuto</t>
  </si>
  <si>
    <t>Sala degli Olivetani 
Via A. Da Baggio 55</t>
  </si>
  <si>
    <t>Eventi con esenzione dal canone</t>
  </si>
  <si>
    <t>Parco delle Cave</t>
  </si>
  <si>
    <t>effettuati conguagli su canoni anni precedenti - adeguamento ISTAT+ anno 2026</t>
  </si>
  <si>
    <t>Via Mosca</t>
  </si>
  <si>
    <t>effettuati conguagli su canoni anni precedenti - adeguamento ISTAT</t>
  </si>
  <si>
    <t>via Don Gervasini</t>
  </si>
  <si>
    <t>Parco della Cava di Muggiano</t>
  </si>
  <si>
    <t>via Viterbo-Bentivoglio</t>
  </si>
  <si>
    <t>2802+55,33</t>
  </si>
  <si>
    <t>via Castrovillari 14</t>
  </si>
  <si>
    <t>via Viterbo 4</t>
  </si>
  <si>
    <t>Cascina Linterno
via F.lli Zoia 194</t>
  </si>
  <si>
    <r>
      <t xml:space="preserve">TOTALE GENERALE
</t>
    </r>
    <r>
      <rPr>
        <sz val="10"/>
        <color theme="1"/>
        <rFont val="Aptos Narrow"/>
        <family val="2"/>
        <scheme val="minor"/>
      </rPr>
      <t>importo comprensivo di I.V.A. ai sensi di legge</t>
    </r>
  </si>
  <si>
    <t>Municipio 7</t>
  </si>
  <si>
    <t>dott.sa Amore F. A. Scilla</t>
  </si>
  <si>
    <t>Milano, 8 gennaio 2026</t>
  </si>
  <si>
    <t>DIREZIONE SERVIZI CIVICI E  MUNICIPI</t>
  </si>
  <si>
    <t xml:space="preserve"> MUNICIPIO 8</t>
  </si>
  <si>
    <t>PISCINA Scuola primaria via C. da Castello, 10</t>
  </si>
  <si>
    <t>PALESTRA Scuola primaria via Cilea, 12</t>
  </si>
  <si>
    <t>contiene anche un saldo relativo a 1 contratto dell'a.s. 24-25</t>
  </si>
  <si>
    <t>PALESTRA Via Cittadini, 9</t>
  </si>
  <si>
    <t>AULA via Console Marcello, 9</t>
  </si>
  <si>
    <t>PALESTRA Scuola primaria via Delle Ande, 4</t>
  </si>
  <si>
    <t>contiene anche saldi relativi a 2 contratti dell'a.s. 24-25</t>
  </si>
  <si>
    <t>PALESTRA Scuola primaria via Gattamelata, 35</t>
  </si>
  <si>
    <t>contiene anche saldi relativI a 6 contratti dell'a.s. 24-25</t>
  </si>
  <si>
    <t>AULE Scuola primaria via Gattamelata, 35</t>
  </si>
  <si>
    <t>contiene anche saldi relativi a 5 contratti dell'a.s. 24-25</t>
  </si>
  <si>
    <t>PALESTRA Scuola primaria via Graf, 70</t>
  </si>
  <si>
    <t>contiene anche saldi relativi a 6 contratti dell'a.s. 24-25</t>
  </si>
  <si>
    <t>PALESTRINA Scuola primaria via Graf, 70</t>
  </si>
  <si>
    <t>contiene anche saldi relativi a 3 contratti dell'a.s. 24-25</t>
  </si>
  <si>
    <t>ATRIO Scuola primaria via Graf, 70</t>
  </si>
  <si>
    <t>PALESTRA Scuola primaria via Mac Mahon, 100</t>
  </si>
  <si>
    <t>AULE Scuola primaria via Mac Mahon, 100</t>
  </si>
  <si>
    <t>AULE Scuola primaria via Mantegna, 10</t>
  </si>
  <si>
    <t>contiene anche il pagamento relativo a 1 contratto dei campus estivi 2025 + i saldi relativi  a 4 contratti dell' a.s.24-25</t>
  </si>
  <si>
    <t>AULA Musica Scuola primaria via Mantegna, 10</t>
  </si>
  <si>
    <t>PALESTRA Scuola primaria via Mantegna, 10</t>
  </si>
  <si>
    <t>PALESTRA Scuola primaria via Moscati, 1</t>
  </si>
  <si>
    <t>contiene anche saldi relativi a 4 contratti dell'a.s. 24-25 e  il pagamento relativo a 1 contratto dei campus estivi 2025</t>
  </si>
  <si>
    <t>AULA Scuola primaria via Moscati, 1</t>
  </si>
  <si>
    <t>contiene anche saldi relativi a 3 contratti dell'a.s. 24-25 e  il pagamento relativo a 1 contratto dei campus estivi 2025</t>
  </si>
  <si>
    <t>PALESTRA grande via Pareto, 26</t>
  </si>
  <si>
    <t>PALESTRA piccola via Pareto, 26</t>
  </si>
  <si>
    <t>contine anche un saldo relativo a 1 contratto dell'a.s. 24-25 e l'acconto di 1 contratto 25-26 poi oggetto di rinuncia</t>
  </si>
  <si>
    <t>AUDITORIUM via Sapri, 50</t>
  </si>
  <si>
    <t>PALESTRA  via Gallarate, 15</t>
  </si>
  <si>
    <t>AULA via Pareto, 26</t>
  </si>
  <si>
    <t>PALESTRA S.M.Nascente</t>
  </si>
  <si>
    <t>AULA S.M.Nascente</t>
  </si>
  <si>
    <t>PALESTRA via Val Lagarina, 44</t>
  </si>
  <si>
    <t>PALESTRA Scuola primaria via Visconti, 16</t>
  </si>
  <si>
    <t>PALESTRA Scuola primaria via Viscontini, 7</t>
  </si>
  <si>
    <t>contiene anche saldi relativi a 8 contratti dell'a.s. 24-25</t>
  </si>
  <si>
    <t>PALESTRA Scuola Sec. di 1° grado via Borsa, 26</t>
  </si>
  <si>
    <t>PALESTRINA Scuola Sec. di 1° grado via C. da Castello, 9</t>
  </si>
  <si>
    <t>PALESTRA Scuola Sec. di 1° grado via C. da Castello, 9</t>
  </si>
  <si>
    <t>contiene anche saldi relativi a 9 contratti dell'a.s. 24-25</t>
  </si>
  <si>
    <t>AULA Scuola Sec. di 1° grado via C. da Castello, 9</t>
  </si>
  <si>
    <t>SPAZIO TEATRO Scuola Sec. di 1° grado via C. da Castello, 9</t>
  </si>
  <si>
    <t>PALESTRA Scuola Sec. di 1° grado via Graf, 74</t>
  </si>
  <si>
    <t>PALESTRA Scuola Sec. di 1° grado via Linneo, 2</t>
  </si>
  <si>
    <t>PALESTRA Scuola Sec. di 1° grado via Ojetti, 13</t>
  </si>
  <si>
    <t>contiene anche saldi relativi a 2 contratto dell'a.s. 24-25</t>
  </si>
  <si>
    <t>PALESTRA Scuola Sec. di 1° grado via P. Uccello, 1/A</t>
  </si>
  <si>
    <t>PALESTRA Scuola Sec. di 1° grado via Quarenghi, 14</t>
  </si>
  <si>
    <t>AULA ARTISTICA Scuola Sec. di 1° grado via Quarenghi, 14</t>
  </si>
  <si>
    <t>PALESTRA Scuola Primaria via Orsini, 25</t>
  </si>
  <si>
    <t>PALESTRA Scuola Primaria via Lovere, 4</t>
  </si>
  <si>
    <t>PALESTRE Scuola de Rossi, 2</t>
  </si>
  <si>
    <t>AULA Scuola de Rossi, 2</t>
  </si>
  <si>
    <t>Auditorium via Quarenghi, 21</t>
  </si>
  <si>
    <t>l'importo si riferisce fino a 4 ore - € 134,00 oltre le 4 ore</t>
  </si>
  <si>
    <t>Atrio sala consiliare via Quarenghi, 21</t>
  </si>
  <si>
    <t>CDQ Lessona via Lessona, 20</t>
  </si>
  <si>
    <t>l'importo si riferisce fino a 4 ore - ogni ora in più € 1,20</t>
  </si>
  <si>
    <t>CDQ Lampugnano via Lampugnano, 145</t>
  </si>
  <si>
    <t>CDQ Pecetta via della Pecetta, 29</t>
  </si>
  <si>
    <t xml:space="preserve">l'importo si riferisce fino a 4 ore - ogni ora in più € 1,20
</t>
  </si>
  <si>
    <t>CDQ Jacopino via J. Da Tradate, 9</t>
  </si>
  <si>
    <t>Fondazione Perini - via Aldini 72</t>
  </si>
  <si>
    <t>CGIL - Pagoda piazza Gramsci</t>
  </si>
  <si>
    <t>Fondazione Terre des Hommes Italia Onlus - via Appennini 50</t>
  </si>
  <si>
    <t>via Aldini</t>
  </si>
  <si>
    <t>Via Lampugnano</t>
  </si>
  <si>
    <t>La PO dell'Unità Coordinamento</t>
  </si>
  <si>
    <t>dott.ssa Paola POZZI</t>
  </si>
  <si>
    <t>Il documento è firmato digitalmente ai sensi del D. Lgs. 82/2005 s.m.i. e norme collegate e sostituisce il documento cartaceo e la firma autografa.</t>
  </si>
  <si>
    <t>MUNICIPIO 9</t>
  </si>
  <si>
    <t xml:space="preserve">tariffa oraria 
</t>
  </si>
  <si>
    <t>concessioni in uso di locali scolastici
 (per singolo plesso)</t>
  </si>
  <si>
    <t>AULA - I.C. ARBE ZARA
Scuola Primaria "Poerio" - Via Pianell n. 40</t>
  </si>
  <si>
    <t>PALESTRA - I.C. ARBE ZARA
 Scuola Primaria "Poerio" - Via Pianell n. 40</t>
  </si>
  <si>
    <t xml:space="preserve">PALESTRA - I.C. CESARE CANTÚ
Scuola Primaria "Hanna Frank" - Via Dora Baltea n. 16 </t>
  </si>
  <si>
    <t>PALESTRA - I.C. CESARE CANTÚ
Scuola Primaria - Via  Dei Braschi n. 12</t>
  </si>
  <si>
    <t>PALESTRA - I.C. CONFALONIERI
Scuola Primaria - Via dal Verme n. 10</t>
  </si>
  <si>
    <t>PALESTRA - I.C. CONFALONIERI
 Scuola Secondaria di 1° grado "Govone" - Via Pepe n. 40</t>
  </si>
  <si>
    <t>PALESTRA - I.C. CONFALONIERI                                                                                                                                                                                                                                                                                                                                      Scuola Primaria Lambruschini - Via Crespi 1</t>
  </si>
  <si>
    <t>PALESTRA - I.C. DON ORIONE
Scuola Secondaria di 1° grado "Leonardo da Vinci" - Via Sand  n. 32</t>
  </si>
  <si>
    <t>PALESTRA - I.C. DON ORIONE
 Scuola Primaria "Caracciolo" - Via Iseo n. 7</t>
  </si>
  <si>
    <t>AULA PSICOMOTRICITA' - I.C. DON ORIONE
Scuola Primaria "Caracciolo" - Via Iseo n. 7</t>
  </si>
  <si>
    <t xml:space="preserve">PALESTRA - I.C. DON ORIONE 
Scuola Primaria  "Don Orione" - Via Fabriano n. 4 </t>
  </si>
  <si>
    <t xml:space="preserve">PALESTRA - I.C. LOCATELLI/QUASIMODO   
Scuola Secondaria di 1° grado "Tommaseo" - P.le Istria n.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</si>
  <si>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AULA MAGNA - I.C. LOCATELLI/QUASIMODO   
Scuola Secondaria di 1° grado "Tommaseo" - P.le Istria n.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</si>
  <si>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PALESTRA - .C. LOCATELLI/QUASIMODO 
Scuola Secondaria di 1° grado "Tommaseo" - Via Veglia n. 80</t>
  </si>
  <si>
    <t>PALESTRA - I.C. LOCCHI
Scuola Primaria "Duca degli Abruzzi" - Via Cesari n. 38</t>
  </si>
  <si>
    <t xml:space="preserve"> AUDITORIUM TEATRO - I.C. LOCCHI 
Scuola Primaria "Duca degli Abruzzi" - Via Cesari n. 38</t>
  </si>
  <si>
    <t>PALESTRA - I.C. LOCCHI
 Scuola Primaria Via Passerini n.4</t>
  </si>
  <si>
    <t>PALESTRA - I.C. SANDRO PERTINI 
Scuola Secondaria "Falcone e Borsellino" -  Via T. Mann n. 8</t>
  </si>
  <si>
    <t>PALESTRA - I.C. SANDRO PERTINI 
Scuola Primaria "Pertini"   - Via T. Mann n. 8</t>
  </si>
  <si>
    <t>PALESTRA - I.C. SANDRO PERTINI
Scuola Primaria "Pirelli" - Via da Bussero n. 9</t>
  </si>
  <si>
    <t>PALESTRA - I.C. SANDRO PERTINI 
Scuola Secondaria "Verga" - Via Asturie n. 1</t>
  </si>
  <si>
    <t>PALESTRA - I.C. SCIALOIA 
Scuola Primaria "Calvino" - Via Scialoia, 19</t>
  </si>
  <si>
    <t xml:space="preserve"> PALESTRA - I.C. SCIALOIA 
Scuola Secondaria di 1° grado "Buonarroti" - Via Scialoia n. 21</t>
  </si>
  <si>
    <t>PALESTRA - I.C. SORELLE AGAZZI
Scuola Primaria "Rodari"  - Via Gabbro 6</t>
  </si>
  <si>
    <t>PALESTRA - I.C. SORELLE AGAZZI
Scuola Secondaria di 1° grado "GANDHI" Piazza Gasparri n. 6</t>
  </si>
  <si>
    <t>PALESTRA - I.C. SORELLE AGAZZI 
Scuola  Secondaria di I° "Rodari" - Via Gabbro 6/a</t>
  </si>
  <si>
    <t>AULA - I.C. SORELLE AGAZZI 
Scuola Secondaria di I grado "Rodari"- via Gabbro 6/a</t>
  </si>
  <si>
    <t>AULA - I.C. SORELLE AGAZZI 
Scuola Secondaria di I grado "Rodari" - via Gabbro 6/a</t>
  </si>
  <si>
    <t>concessioni in uso spazi multiuso</t>
  </si>
  <si>
    <t>SPAZIO PALESTRA - CAM
 Via Ciriè n. 9</t>
  </si>
  <si>
    <t>SPAZIO TEATRO - CAM
Via Ciriè n. 9</t>
  </si>
  <si>
    <t>SALA - VILLA LITTA
Viale Affori n.21</t>
  </si>
  <si>
    <t>SALONE
Via Empoli n. 9/2</t>
  </si>
  <si>
    <t>AUDITORIUM "FALCONE E BORSELLINO" CASSINA ANNA
Via Sant'Arnaldo n. 17</t>
  </si>
  <si>
    <t>ANFITEATRO - CASSINA ANNA 
Via Sant'Arnaldo n. 17</t>
  </si>
  <si>
    <t>LOCALE RUSTICO - CASSINA ANNA 
Via Sant'Arnaldo n. 17</t>
  </si>
  <si>
    <t>PALESTRINA - CASSINA ANNA 
Via Sant'Arnaldo n. 17</t>
  </si>
  <si>
    <t>AUDITORIUM "TERESA SARTI STRADA"
Viale Cà Granda n. 19</t>
  </si>
  <si>
    <t>canone annuo 
pattuito</t>
  </si>
  <si>
    <t>Cassina Anna  
Via Sant'Arnaldo n. 17</t>
  </si>
  <si>
    <r>
      <t xml:space="preserve">Canone singola particella annuale </t>
    </r>
    <r>
      <rPr>
        <sz val="11"/>
        <rFont val="Calibri"/>
        <family val="2"/>
      </rPr>
      <t>€ 44,00 -</t>
    </r>
    <r>
      <rPr>
        <sz val="11"/>
        <color theme="1"/>
        <rFont val="Aptos Narrow"/>
        <family val="2"/>
        <scheme val="minor"/>
      </rPr>
      <t xml:space="preserve"> tutti gli ortisti hanno pagato il canone anche per il 2026</t>
    </r>
  </si>
  <si>
    <t>Via Cosenz</t>
  </si>
  <si>
    <r>
      <t>Canone singola particella annuale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€ 52,00 -  Canone  comprensivo della quota 2026 solo per gli ortisti paganti entro il 31_12_25</t>
    </r>
  </si>
  <si>
    <t>Via Cascina dei Prati</t>
  </si>
  <si>
    <r>
      <t xml:space="preserve">Canone  singola particella annuale </t>
    </r>
    <r>
      <rPr>
        <sz val="11"/>
        <rFont val="Calibri"/>
        <family val="2"/>
      </rPr>
      <t>€ 70,00 -  Canone  comprensivo della quota 2026 solo per gli ortisti paganti entro il 31_12_25</t>
    </r>
  </si>
  <si>
    <t>IMPIANTO SPORTIVO
 Via G. Pasta, 43</t>
  </si>
  <si>
    <t>PROGETTO ATS CAPOFILA  A&amp;I
Viale Affori n. 21</t>
  </si>
  <si>
    <t>PROGETTO "9X9 - IDEE IN RETE APS”
Via Cascina dei Prati</t>
  </si>
  <si>
    <r>
      <rPr>
        <b/>
        <sz val="12"/>
        <color theme="1"/>
        <rFont val="Calibri"/>
        <family val="2"/>
        <charset val="1"/>
      </rPr>
      <t xml:space="preserve">TOTALE GENERALE
</t>
    </r>
    <r>
      <rPr>
        <sz val="11"/>
        <color theme="1"/>
        <rFont val="Aptos Narrow"/>
        <family val="2"/>
        <scheme val="minor"/>
      </rPr>
      <t>importo comprensivo di I.V.A. ai sensi di legge</t>
    </r>
  </si>
  <si>
    <t>Municipio 9</t>
  </si>
  <si>
    <t>*Dr.ssa  Giuseppina Pedata</t>
  </si>
  <si>
    <t>*Il documento è firmato digitalmente ai sensi del D.Lgs. 82/2005 s.m.i. e norme collegate e sostituisce il documento cartaceo e la firma autografa.</t>
  </si>
  <si>
    <r>
      <t>INTROITI PER CONCESSIONI DI LOCALI SCOLASTICI, SPAZI MULTIUSO, IMMOBILI E AREE - PERIODO: GENNAIO - DICEMBRE</t>
    </r>
    <r>
      <rPr>
        <b/>
        <sz val="14"/>
        <color rgb="FFFF0000"/>
        <rFont val="Calibri"/>
        <family val="2"/>
      </rPr>
      <t xml:space="preserve"> </t>
    </r>
    <r>
      <rPr>
        <b/>
        <sz val="14"/>
        <color theme="1"/>
        <rFont val="Calibri"/>
        <family val="2"/>
        <charset val="1"/>
      </rPr>
      <t>2025</t>
    </r>
  </si>
  <si>
    <t>Milano, 31 dicembre 2025</t>
  </si>
  <si>
    <r>
      <t>totale canoni percepiti da gennaio</t>
    </r>
    <r>
      <rPr>
        <b/>
        <i/>
        <sz val="12"/>
        <rFont val="Calibri"/>
        <family val="2"/>
        <charset val="1"/>
      </rPr>
      <t xml:space="preserve"> 2025</t>
    </r>
  </si>
  <si>
    <t>totale tariffe orarie e 
canoni annui pattuiti</t>
  </si>
  <si>
    <r>
      <t xml:space="preserve">TOTALE GENERALE 9 MUNICIPI
</t>
    </r>
    <r>
      <rPr>
        <sz val="14"/>
        <color theme="1"/>
        <rFont val="Aptos Narrow"/>
        <family val="2"/>
        <charset val="1"/>
        <scheme val="minor"/>
      </rPr>
      <t>importo comprensivo di I.V.A. ai sensi di legge</t>
    </r>
  </si>
  <si>
    <t>Il Responsabile Unità Coordinamento Municipio 1</t>
  </si>
  <si>
    <t>Dott. Giuseppe Donnici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</si>
</sst>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&quot;€&quot;\ #,##0.00"/>
    <numFmt numFmtId="165" formatCode="[$€-2]\ #,##0.00"/>
    <numFmt numFmtId="166" formatCode="#,##0.00&quot; €&quot;"/>
    <numFmt numFmtId="167" formatCode="&quot;€ &quot;#,##0.00"/>
    <numFmt numFmtId="168" formatCode="[$-410]dd/mm/yyyy"/>
    <numFmt numFmtId="169" formatCode="#,##0.00\ &quot;€&quot;"/>
    <numFmt numFmtId="170" formatCode="_-* #,##0.00\ [$€-410]_-;\-* #,##0.00\ [$€-410]_-;_-* \-??\ [$€-410]_-;_-@_-"/>
    <numFmt numFmtId="171" formatCode="[$€-410]\ #,##0.00;[Red]\-[$€-410]\ #,##0.00"/>
    <numFmt numFmtId="172" formatCode="[$€-2]\ #,##0.00;\-[$€-2]\ #,##0.00"/>
    <numFmt numFmtId="173" formatCode="&quot;€&quot;\ #,##0.00;[Red]&quot;€&quot;\ #,##0.00"/>
    <numFmt numFmtId="174" formatCode="#,##0;[Red]#,##0"/>
    <numFmt numFmtId="175" formatCode="0;[Red]0"/>
  </numFmts>
  <fonts count="7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Frutige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6"/>
      <color rgb="FF000000"/>
      <name val="Frutiger"/>
      <charset val="1"/>
    </font>
    <font>
      <b/>
      <sz val="11"/>
      <color rgb="FFFF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0"/>
      <color rgb="FF000000"/>
      <name val="Calibri"/>
      <family val="2"/>
    </font>
    <font>
      <sz val="10"/>
      <name val="Calibri"/>
      <family val="2"/>
    </font>
    <font>
      <sz val="9"/>
      <color rgb="FF000000"/>
      <name val="Calibri"/>
      <family val="2"/>
    </font>
    <font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1"/>
      <name val="Aptos Narrow"/>
      <family val="2"/>
      <scheme val="minor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4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Calibri"/>
      <family val="2"/>
    </font>
    <font>
      <b/>
      <sz val="10"/>
      <color rgb="FF000000"/>
      <name val="Aptos Narrow"/>
      <family val="2"/>
      <scheme val="minor"/>
    </font>
    <font>
      <sz val="16"/>
      <color rgb="FF000000"/>
      <name val="Frutiger"/>
    </font>
    <font>
      <sz val="9"/>
      <color rgb="FFFF0000"/>
      <name val="Aptos Narrow"/>
      <family val="2"/>
      <scheme val="minor"/>
    </font>
    <font>
      <sz val="16"/>
      <color theme="1"/>
      <name val="Frutiger"/>
      <charset val="1"/>
    </font>
    <font>
      <b/>
      <sz val="14"/>
      <color theme="1"/>
      <name val="Calibri"/>
      <family val="2"/>
      <charset val="1"/>
    </font>
    <font>
      <b/>
      <sz val="14"/>
      <color rgb="FFFF0000"/>
      <name val="Calibri"/>
      <family val="2"/>
    </font>
    <font>
      <b/>
      <sz val="10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name val="Calibri"/>
      <family val="2"/>
    </font>
    <font>
      <b/>
      <sz val="12"/>
      <color theme="1"/>
      <name val="Calibri"/>
      <family val="2"/>
      <charset val="1"/>
    </font>
    <font>
      <b/>
      <sz val="12"/>
      <name val="Calibri"/>
      <family val="2"/>
      <charset val="1"/>
    </font>
    <font>
      <sz val="11"/>
      <color rgb="FFFF0000"/>
      <name val="Calibri"/>
      <family val="2"/>
    </font>
    <font>
      <sz val="12"/>
      <color theme="1"/>
      <name val="Calibri"/>
      <family val="2"/>
      <charset val="1"/>
    </font>
    <font>
      <sz val="11"/>
      <color theme="1"/>
      <name val="Calibri"/>
      <family val="2"/>
    </font>
    <font>
      <b/>
      <i/>
      <sz val="12"/>
      <name val="Calibri"/>
      <family val="2"/>
      <charset val="1"/>
    </font>
    <font>
      <sz val="14"/>
      <color theme="1"/>
      <name val="Aptos Narrow"/>
      <family val="2"/>
      <charset val="1"/>
      <scheme val="minor"/>
    </font>
    <font>
      <b/>
      <sz val="14"/>
      <name val="Calibri"/>
      <family val="2"/>
    </font>
    <font>
      <b/>
      <sz val="13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DAE7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AE7F6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B9CDE5"/>
        <bgColor rgb="FFC0C0C0"/>
      </patternFill>
    </fill>
    <fill>
      <patternFill patternType="solid">
        <fgColor rgb="FFDAE7F6"/>
        <bgColor rgb="FFDCE6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79857783745845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FFCC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44" fontId="38" fillId="0" borderId="0" applyFont="0" applyFill="0" applyBorder="0" applyAlignment="0" applyProtection="0"/>
    <xf numFmtId="0" fontId="42" fillId="0" borderId="0"/>
    <xf numFmtId="0" fontId="42" fillId="0" borderId="0"/>
  </cellStyleXfs>
  <cellXfs count="4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/>
    <xf numFmtId="0" fontId="0" fillId="0" borderId="6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0" xfId="0" applyFill="1"/>
    <xf numFmtId="0" fontId="13" fillId="0" borderId="1" xfId="0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13" fillId="3" borderId="1" xfId="0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1" fontId="17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3" borderId="4" xfId="0" applyNumberFormat="1" applyFill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165" fontId="10" fillId="3" borderId="4" xfId="0" quotePrefix="1" applyNumberFormat="1" applyFont="1" applyFill="1" applyBorder="1" applyAlignment="1">
      <alignment horizontal="center" vertical="center" wrapText="1"/>
    </xf>
    <xf numFmtId="165" fontId="10" fillId="3" borderId="1" xfId="0" quotePrefix="1" applyNumberFormat="1" applyFont="1" applyFill="1" applyBorder="1" applyAlignment="1">
      <alignment horizontal="center" vertical="center" wrapText="1"/>
    </xf>
    <xf numFmtId="165" fontId="10" fillId="3" borderId="5" xfId="0" quotePrefix="1" applyNumberFormat="1" applyFont="1" applyFill="1" applyBorder="1" applyAlignment="1">
      <alignment horizontal="center" vertical="center" wrapText="1"/>
    </xf>
    <xf numFmtId="165" fontId="0" fillId="3" borderId="5" xfId="0" applyNumberFormat="1" applyFill="1" applyBorder="1" applyAlignment="1">
      <alignment horizontal="center" vertical="center"/>
    </xf>
    <xf numFmtId="165" fontId="10" fillId="3" borderId="6" xfId="0" quotePrefix="1" applyNumberFormat="1" applyFon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11" fillId="0" borderId="4" xfId="0" applyFont="1" applyBorder="1"/>
    <xf numFmtId="0" fontId="15" fillId="0" borderId="6" xfId="0" quotePrefix="1" applyFont="1" applyBorder="1" applyAlignment="1">
      <alignment vertical="center" wrapText="1"/>
    </xf>
    <xf numFmtId="1" fontId="0" fillId="0" borderId="10" xfId="0" applyNumberForma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5" fontId="13" fillId="3" borderId="6" xfId="0" applyNumberFormat="1" applyFont="1" applyFill="1" applyBorder="1" applyAlignment="1">
      <alignment horizontal="center" vertical="center"/>
    </xf>
    <xf numFmtId="1" fontId="13" fillId="3" borderId="6" xfId="0" applyNumberFormat="1" applyFont="1" applyFill="1" applyBorder="1" applyAlignment="1">
      <alignment horizontal="center" vertical="center"/>
    </xf>
    <xf numFmtId="165" fontId="0" fillId="3" borderId="14" xfId="0" applyNumberFormat="1" applyFill="1" applyBorder="1" applyAlignment="1">
      <alignment horizontal="center" vertical="center"/>
    </xf>
    <xf numFmtId="165" fontId="10" fillId="3" borderId="14" xfId="0" quotePrefix="1" applyNumberFormat="1" applyFont="1" applyFill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165" fontId="0" fillId="3" borderId="17" xfId="0" applyNumberFormat="1" applyFill="1" applyBorder="1" applyAlignment="1">
      <alignment horizontal="center" vertical="center"/>
    </xf>
    <xf numFmtId="165" fontId="10" fillId="3" borderId="17" xfId="0" quotePrefix="1" applyNumberFormat="1" applyFont="1" applyFill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  <xf numFmtId="0" fontId="10" fillId="3" borderId="1" xfId="0" quotePrefix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6" fillId="0" borderId="1" xfId="0" applyFont="1" applyBorder="1" applyAlignment="1">
      <alignment vertical="center" wrapText="1"/>
    </xf>
    <xf numFmtId="167" fontId="0" fillId="0" borderId="1" xfId="0" applyNumberForma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0" fillId="0" borderId="1" xfId="0" applyFont="1" applyBorder="1" applyAlignment="1">
      <alignment vertical="center" wrapText="1"/>
    </xf>
    <xf numFmtId="167" fontId="30" fillId="0" borderId="1" xfId="0" applyNumberFormat="1" applyFont="1" applyBorder="1" applyAlignment="1">
      <alignment horizontal="center" vertical="center" wrapText="1"/>
    </xf>
    <xf numFmtId="167" fontId="31" fillId="0" borderId="1" xfId="0" applyNumberFormat="1" applyFont="1" applyBorder="1" applyAlignment="1">
      <alignment horizontal="left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166" fontId="31" fillId="6" borderId="0" xfId="0" applyNumberFormat="1" applyFont="1" applyFill="1" applyAlignment="1">
      <alignment horizontal="center" vertical="center" wrapText="1"/>
    </xf>
    <xf numFmtId="167" fontId="0" fillId="6" borderId="1" xfId="0" applyNumberFormat="1" applyFill="1" applyBorder="1" applyAlignment="1">
      <alignment horizontal="center" vertical="center" wrapText="1"/>
    </xf>
    <xf numFmtId="168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 wrapText="1"/>
    </xf>
    <xf numFmtId="165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1" fillId="6" borderId="1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167" fontId="30" fillId="0" borderId="0" xfId="0" applyNumberFormat="1" applyFont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3" fontId="3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65" fontId="12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69" fontId="0" fillId="0" borderId="0" xfId="0" applyNumberFormat="1"/>
    <xf numFmtId="165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9" fillId="0" borderId="1" xfId="0" quotePrefix="1" applyFont="1" applyBorder="1" applyAlignment="1">
      <alignment vertical="center" wrapText="1"/>
    </xf>
    <xf numFmtId="164" fontId="0" fillId="0" borderId="1" xfId="0" applyNumberFormat="1" applyBorder="1" applyAlignment="1">
      <alignment horizontal="center" wrapText="1"/>
    </xf>
    <xf numFmtId="0" fontId="41" fillId="0" borderId="1" xfId="0" applyFont="1" applyBorder="1" applyAlignment="1">
      <alignment wrapText="1"/>
    </xf>
    <xf numFmtId="165" fontId="10" fillId="0" borderId="1" xfId="0" quotePrefix="1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9" fillId="0" borderId="20" xfId="2" applyNumberFormat="1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1" fontId="29" fillId="0" borderId="5" xfId="2" applyNumberFormat="1" applyFont="1" applyBorder="1" applyAlignment="1">
      <alignment horizontal="center" vertical="center" wrapText="1"/>
    </xf>
    <xf numFmtId="1" fontId="29" fillId="0" borderId="24" xfId="1" applyNumberFormat="1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1" fontId="29" fillId="0" borderId="20" xfId="1" applyNumberFormat="1" applyFont="1" applyBorder="1" applyAlignment="1">
      <alignment horizontal="center" vertical="center" wrapText="1"/>
    </xf>
    <xf numFmtId="1" fontId="29" fillId="0" borderId="26" xfId="1" applyNumberFormat="1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1" fontId="29" fillId="0" borderId="5" xfId="1" applyNumberFormat="1" applyFont="1" applyBorder="1" applyAlignment="1">
      <alignment horizontal="center" vertical="center" wrapText="1"/>
    </xf>
    <xf numFmtId="1" fontId="29" fillId="0" borderId="1" xfId="1" applyNumberFormat="1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1" fontId="29" fillId="0" borderId="6" xfId="1" applyNumberFormat="1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/>
    </xf>
    <xf numFmtId="1" fontId="29" fillId="0" borderId="4" xfId="1" applyNumberFormat="1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26" xfId="1" applyNumberFormat="1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 wrapText="1"/>
    </xf>
    <xf numFmtId="1" fontId="29" fillId="0" borderId="26" xfId="2" applyNumberFormat="1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 wrapText="1"/>
    </xf>
    <xf numFmtId="165" fontId="44" fillId="6" borderId="6" xfId="0" applyNumberFormat="1" applyFont="1" applyFill="1" applyBorder="1" applyAlignment="1">
      <alignment horizontal="center" vertical="center" wrapText="1"/>
    </xf>
    <xf numFmtId="165" fontId="29" fillId="6" borderId="6" xfId="2" applyNumberFormat="1" applyFont="1" applyFill="1" applyBorder="1" applyAlignment="1">
      <alignment horizontal="center" vertical="center" wrapText="1"/>
    </xf>
    <xf numFmtId="1" fontId="29" fillId="0" borderId="6" xfId="0" applyNumberFormat="1" applyFont="1" applyBorder="1" applyAlignment="1">
      <alignment horizontal="center" vertical="center" wrapText="1"/>
    </xf>
    <xf numFmtId="0" fontId="0" fillId="0" borderId="6" xfId="0" applyBorder="1"/>
    <xf numFmtId="165" fontId="44" fillId="6" borderId="1" xfId="0" applyNumberFormat="1" applyFont="1" applyFill="1" applyBorder="1" applyAlignment="1">
      <alignment horizontal="center" vertical="center" wrapText="1"/>
    </xf>
    <xf numFmtId="165" fontId="29" fillId="6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horizontal="left" vertical="center" wrapText="1"/>
    </xf>
    <xf numFmtId="165" fontId="29" fillId="0" borderId="20" xfId="2" applyNumberFormat="1" applyFont="1" applyBorder="1" applyAlignment="1">
      <alignment horizontal="center" vertical="center" wrapText="1"/>
    </xf>
    <xf numFmtId="165" fontId="29" fillId="0" borderId="5" xfId="2" applyNumberFormat="1" applyFont="1" applyBorder="1" applyAlignment="1">
      <alignment horizontal="center" vertical="center" wrapText="1"/>
    </xf>
    <xf numFmtId="165" fontId="29" fillId="0" borderId="24" xfId="1" applyNumberFormat="1" applyFont="1" applyBorder="1" applyAlignment="1">
      <alignment horizontal="center" vertical="center" wrapText="1"/>
    </xf>
    <xf numFmtId="165" fontId="29" fillId="0" borderId="24" xfId="2" applyNumberFormat="1" applyFont="1" applyBorder="1" applyAlignment="1">
      <alignment horizontal="center" vertical="center" wrapText="1"/>
    </xf>
    <xf numFmtId="165" fontId="29" fillId="0" borderId="20" xfId="1" applyNumberFormat="1" applyFont="1" applyBorder="1" applyAlignment="1">
      <alignment horizontal="center" vertical="center" wrapText="1"/>
    </xf>
    <xf numFmtId="165" fontId="29" fillId="0" borderId="26" xfId="1" applyNumberFormat="1" applyFont="1" applyBorder="1" applyAlignment="1">
      <alignment horizontal="center" vertical="center" wrapText="1"/>
    </xf>
    <xf numFmtId="165" fontId="29" fillId="0" borderId="26" xfId="2" applyNumberFormat="1" applyFont="1" applyBorder="1" applyAlignment="1">
      <alignment horizontal="center" vertical="center" wrapText="1"/>
    </xf>
    <xf numFmtId="165" fontId="29" fillId="0" borderId="6" xfId="2" applyNumberFormat="1" applyFont="1" applyBorder="1" applyAlignment="1">
      <alignment horizontal="center" vertical="center" wrapText="1"/>
    </xf>
    <xf numFmtId="165" fontId="29" fillId="0" borderId="5" xfId="1" applyNumberFormat="1" applyFont="1" applyBorder="1" applyAlignment="1">
      <alignment horizontal="center" vertical="center" wrapText="1"/>
    </xf>
    <xf numFmtId="165" fontId="29" fillId="0" borderId="1" xfId="1" applyNumberFormat="1" applyFont="1" applyBorder="1" applyAlignment="1">
      <alignment horizontal="center" vertical="center" wrapText="1"/>
    </xf>
    <xf numFmtId="165" fontId="29" fillId="0" borderId="1" xfId="2" applyNumberFormat="1" applyFont="1" applyBorder="1" applyAlignment="1">
      <alignment horizontal="center" vertical="center" wrapText="1"/>
    </xf>
    <xf numFmtId="165" fontId="29" fillId="0" borderId="6" xfId="1" applyNumberFormat="1" applyFont="1" applyBorder="1" applyAlignment="1">
      <alignment horizontal="center" vertical="center" wrapText="1"/>
    </xf>
    <xf numFmtId="165" fontId="29" fillId="0" borderId="4" xfId="1" applyNumberFormat="1" applyFont="1" applyBorder="1" applyAlignment="1">
      <alignment horizontal="center" vertical="center" wrapText="1"/>
    </xf>
    <xf numFmtId="165" fontId="29" fillId="0" borderId="4" xfId="2" applyNumberFormat="1" applyFont="1" applyBorder="1" applyAlignment="1">
      <alignment horizontal="center" vertical="center" wrapText="1"/>
    </xf>
    <xf numFmtId="165" fontId="29" fillId="0" borderId="20" xfId="1" applyNumberFormat="1" applyFont="1" applyFill="1" applyBorder="1" applyAlignment="1">
      <alignment horizontal="center" vertical="center" wrapText="1"/>
    </xf>
    <xf numFmtId="165" fontId="29" fillId="0" borderId="6" xfId="1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39" fillId="0" borderId="1" xfId="0" quotePrefix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3" borderId="1" xfId="0" applyFill="1" applyBorder="1" applyAlignment="1">
      <alignment horizontal="left"/>
    </xf>
    <xf numFmtId="0" fontId="45" fillId="3" borderId="1" xfId="0" applyFont="1" applyFill="1" applyBorder="1" applyAlignment="1">
      <alignment horizontal="left" vertical="center" wrapText="1"/>
    </xf>
    <xf numFmtId="0" fontId="46" fillId="3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left" vertical="center" wrapText="1"/>
    </xf>
    <xf numFmtId="171" fontId="0" fillId="0" borderId="0" xfId="0" applyNumberFormat="1"/>
    <xf numFmtId="170" fontId="26" fillId="0" borderId="0" xfId="0" applyNumberFormat="1" applyFont="1"/>
    <xf numFmtId="0" fontId="46" fillId="3" borderId="1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left" vertical="center"/>
    </xf>
    <xf numFmtId="1" fontId="47" fillId="3" borderId="1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" fontId="46" fillId="3" borderId="1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vertical="center" wrapText="1"/>
      <protection locked="0"/>
    </xf>
    <xf numFmtId="1" fontId="4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vertical="center" wrapText="1"/>
    </xf>
    <xf numFmtId="164" fontId="13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167" fontId="26" fillId="0" borderId="1" xfId="0" applyNumberFormat="1" applyFont="1" applyBorder="1" applyAlignment="1">
      <alignment horizontal="center" vertical="center" wrapText="1"/>
    </xf>
    <xf numFmtId="165" fontId="25" fillId="3" borderId="1" xfId="0" applyNumberFormat="1" applyFont="1" applyFill="1" applyBorder="1" applyAlignment="1">
      <alignment horizontal="center" vertical="center" wrapText="1"/>
    </xf>
    <xf numFmtId="165" fontId="25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49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wrapText="1"/>
    </xf>
    <xf numFmtId="0" fontId="50" fillId="10" borderId="1" xfId="0" applyFont="1" applyFill="1" applyBorder="1" applyAlignment="1">
      <alignment vertical="center" wrapText="1"/>
    </xf>
    <xf numFmtId="172" fontId="12" fillId="0" borderId="1" xfId="0" applyNumberFormat="1" applyFont="1" applyBorder="1" applyAlignment="1">
      <alignment horizontal="center" vertical="center" wrapText="1"/>
    </xf>
    <xf numFmtId="172" fontId="17" fillId="0" borderId="1" xfId="0" applyNumberFormat="1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wrapText="1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50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0" fillId="0" borderId="6" xfId="0" applyBorder="1" applyAlignment="1">
      <alignment wrapText="1"/>
    </xf>
    <xf numFmtId="0" fontId="7" fillId="0" borderId="0" xfId="0" applyFont="1" applyAlignment="1">
      <alignment horizontal="center" wrapText="1"/>
    </xf>
    <xf numFmtId="0" fontId="51" fillId="0" borderId="1" xfId="0" quotePrefix="1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6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72" fontId="17" fillId="3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5" fontId="53" fillId="0" borderId="1" xfId="0" applyNumberFormat="1" applyFont="1" applyBorder="1" applyAlignment="1">
      <alignment horizontal="center" vertical="center" wrapText="1"/>
    </xf>
    <xf numFmtId="3" fontId="5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14" fontId="12" fillId="0" borderId="0" xfId="0" applyNumberFormat="1" applyFont="1" applyAlignment="1">
      <alignment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left" vertical="center" wrapText="1"/>
    </xf>
    <xf numFmtId="172" fontId="7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4" fillId="0" borderId="0" xfId="0" applyFont="1"/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0" fillId="0" borderId="0" xfId="0" applyNumberFormat="1"/>
    <xf numFmtId="0" fontId="2" fillId="0" borderId="7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9" fontId="0" fillId="0" borderId="0" xfId="0" applyNumberFormat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1" fontId="43" fillId="0" borderId="1" xfId="0" applyNumberFormat="1" applyFont="1" applyBorder="1" applyAlignment="1">
      <alignment horizontal="center" vertical="center" wrapText="1"/>
    </xf>
    <xf numFmtId="0" fontId="55" fillId="0" borderId="1" xfId="0" quotePrefix="1" applyFont="1" applyBorder="1" applyAlignment="1">
      <alignment horizontal="center" vertical="center" wrapText="1"/>
    </xf>
    <xf numFmtId="173" fontId="13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 wrapText="1"/>
    </xf>
    <xf numFmtId="174" fontId="13" fillId="0" borderId="1" xfId="0" applyNumberFormat="1" applyFont="1" applyBorder="1" applyAlignment="1">
      <alignment horizontal="center" vertical="center" wrapText="1"/>
    </xf>
    <xf numFmtId="0" fontId="56" fillId="0" borderId="0" xfId="0" applyFont="1"/>
    <xf numFmtId="0" fontId="59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61" fillId="3" borderId="1" xfId="0" applyFont="1" applyFill="1" applyBorder="1" applyAlignment="1">
      <alignment vertical="center" wrapText="1"/>
    </xf>
    <xf numFmtId="4" fontId="61" fillId="3" borderId="1" xfId="0" applyNumberFormat="1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28" fillId="0" borderId="0" xfId="0" applyFont="1" applyAlignment="1">
      <alignment wrapText="1"/>
    </xf>
    <xf numFmtId="0" fontId="47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/>
    <xf numFmtId="4" fontId="47" fillId="3" borderId="1" xfId="0" applyNumberFormat="1" applyFont="1" applyFill="1" applyBorder="1" applyAlignment="1">
      <alignment vertical="center" wrapText="1"/>
    </xf>
    <xf numFmtId="0" fontId="63" fillId="0" borderId="1" xfId="0" applyFont="1" applyBorder="1" applyAlignment="1">
      <alignment vertical="center" wrapText="1"/>
    </xf>
    <xf numFmtId="167" fontId="63" fillId="0" borderId="1" xfId="0" applyNumberFormat="1" applyFont="1" applyBorder="1" applyAlignment="1">
      <alignment horizontal="center" vertical="center" wrapText="1"/>
    </xf>
    <xf numFmtId="1" fontId="64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166" fontId="0" fillId="0" borderId="0" xfId="0" applyNumberFormat="1"/>
    <xf numFmtId="165" fontId="0" fillId="0" borderId="4" xfId="0" applyNumberFormat="1" applyBorder="1" applyAlignment="1">
      <alignment horizontal="center" vertical="center" wrapText="1"/>
    </xf>
    <xf numFmtId="165" fontId="61" fillId="3" borderId="1" xfId="0" applyNumberFormat="1" applyFont="1" applyFill="1" applyBorder="1" applyAlignment="1">
      <alignment horizontal="center" vertical="center"/>
    </xf>
    <xf numFmtId="165" fontId="47" fillId="3" borderId="1" xfId="0" applyNumberFormat="1" applyFont="1" applyFill="1" applyBorder="1" applyAlignment="1">
      <alignment horizontal="center" vertical="center"/>
    </xf>
    <xf numFmtId="165" fontId="47" fillId="3" borderId="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165" fontId="62" fillId="3" borderId="1" xfId="0" applyNumberFormat="1" applyFont="1" applyFill="1" applyBorder="1" applyAlignment="1">
      <alignment horizontal="center" vertical="center"/>
    </xf>
    <xf numFmtId="165" fontId="63" fillId="0" borderId="1" xfId="0" applyNumberFormat="1" applyFont="1" applyBorder="1" applyAlignment="1">
      <alignment horizontal="center" vertical="center" wrapText="1"/>
    </xf>
    <xf numFmtId="165" fontId="66" fillId="0" borderId="1" xfId="0" applyNumberFormat="1" applyFont="1" applyBorder="1" applyAlignment="1">
      <alignment horizontal="center" vertical="center" wrapText="1"/>
    </xf>
    <xf numFmtId="165" fontId="0" fillId="13" borderId="1" xfId="0" applyNumberFormat="1" applyFill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3" fontId="61" fillId="3" borderId="1" xfId="0" applyNumberFormat="1" applyFont="1" applyFill="1" applyBorder="1" applyAlignment="1">
      <alignment horizontal="center" vertical="center"/>
    </xf>
    <xf numFmtId="3" fontId="62" fillId="3" borderId="1" xfId="0" applyNumberFormat="1" applyFont="1" applyFill="1" applyBorder="1" applyAlignment="1">
      <alignment horizontal="center" vertical="center"/>
    </xf>
    <xf numFmtId="3" fontId="63" fillId="0" borderId="1" xfId="0" applyNumberFormat="1" applyFont="1" applyBorder="1" applyAlignment="1">
      <alignment horizontal="center" vertical="center" wrapText="1"/>
    </xf>
    <xf numFmtId="0" fontId="64" fillId="0" borderId="1" xfId="3" applyFont="1" applyBorder="1" applyAlignment="1">
      <alignment horizontal="center" vertical="center" wrapText="1"/>
    </xf>
    <xf numFmtId="0" fontId="30" fillId="0" borderId="1" xfId="3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172" fontId="70" fillId="0" borderId="1" xfId="3" applyNumberFormat="1" applyFont="1" applyBorder="1" applyAlignment="1">
      <alignment horizontal="center" vertical="center" wrapText="1"/>
    </xf>
    <xf numFmtId="175" fontId="70" fillId="0" borderId="1" xfId="0" applyNumberFormat="1" applyFont="1" applyBorder="1" applyAlignment="1">
      <alignment horizontal="center" vertical="center"/>
    </xf>
    <xf numFmtId="175" fontId="71" fillId="0" borderId="0" xfId="0" applyNumberFormat="1" applyFont="1" applyAlignment="1">
      <alignment horizontal="right"/>
    </xf>
    <xf numFmtId="0" fontId="71" fillId="0" borderId="0" xfId="0" applyFont="1" applyAlignment="1">
      <alignment horizontal="left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5" fontId="0" fillId="3" borderId="4" xfId="0" applyNumberFormat="1" applyFill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5" fontId="0" fillId="3" borderId="5" xfId="0" applyNumberForma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center" vertical="center" wrapText="1"/>
    </xf>
    <xf numFmtId="0" fontId="30" fillId="7" borderId="9" xfId="0" applyFont="1" applyFill="1" applyBorder="1" applyAlignment="1">
      <alignment horizontal="center" vertical="center" wrapText="1"/>
    </xf>
    <xf numFmtId="0" fontId="30" fillId="7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/>
    <xf numFmtId="0" fontId="29" fillId="0" borderId="19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9" fillId="6" borderId="19" xfId="0" applyFont="1" applyFill="1" applyBorder="1" applyAlignment="1">
      <alignment horizontal="center" vertical="center" wrapText="1"/>
    </xf>
    <xf numFmtId="0" fontId="29" fillId="6" borderId="22" xfId="0" applyFont="1" applyFill="1" applyBorder="1" applyAlignment="1">
      <alignment horizontal="center" vertical="center" wrapText="1"/>
    </xf>
    <xf numFmtId="0" fontId="29" fillId="6" borderId="23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42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7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57" fillId="12" borderId="2" xfId="0" applyFont="1" applyFill="1" applyBorder="1" applyAlignment="1">
      <alignment horizontal="center" vertical="center" wrapText="1"/>
    </xf>
    <xf numFmtId="0" fontId="57" fillId="12" borderId="9" xfId="0" applyFont="1" applyFill="1" applyBorder="1" applyAlignment="1">
      <alignment horizontal="center" vertical="center" wrapText="1"/>
    </xf>
    <xf numFmtId="0" fontId="57" fillId="12" borderId="3" xfId="0" applyFont="1" applyFill="1" applyBorder="1" applyAlignment="1">
      <alignment horizontal="center" vertical="center" wrapText="1"/>
    </xf>
    <xf numFmtId="0" fontId="63" fillId="11" borderId="2" xfId="0" applyFont="1" applyFill="1" applyBorder="1" applyAlignment="1">
      <alignment horizontal="center" vertical="center" wrapText="1"/>
    </xf>
    <xf numFmtId="0" fontId="63" fillId="11" borderId="9" xfId="0" applyFont="1" applyFill="1" applyBorder="1" applyAlignment="1">
      <alignment horizontal="center" vertical="center" wrapText="1"/>
    </xf>
    <xf numFmtId="0" fontId="63" fillId="11" borderId="3" xfId="0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</cellXfs>
  <cellStyles count="4">
    <cellStyle name="Normale" xfId="0" builtinId="0"/>
    <cellStyle name="Normale 2" xfId="3" xr:uid="{F65223B3-D5DE-428C-9F55-0A4FA394CA86}"/>
    <cellStyle name="Normale 3" xfId="2" xr:uid="{51354025-9D32-4B36-B9A9-1559C0F66F56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68BCC-16EF-405B-92BC-5331D1C5BE41}">
  <dimension ref="A1:AT80"/>
  <sheetViews>
    <sheetView tabSelected="1" topLeftCell="A63" workbookViewId="0">
      <selection activeCell="B76" sqref="B76"/>
    </sheetView>
  </sheetViews>
  <sheetFormatPr defaultColWidth="9.109375" defaultRowHeight="14.4"/>
  <cols>
    <col min="1" max="1" width="3.44140625" customWidth="1"/>
    <col min="2" max="2" width="38.88671875" customWidth="1"/>
    <col min="3" max="3" width="49.33203125" customWidth="1"/>
    <col min="4" max="4" width="42.88671875" customWidth="1"/>
    <col min="5" max="5" width="15.88671875" customWidth="1"/>
    <col min="6" max="6" width="14.33203125" customWidth="1"/>
    <col min="7" max="7" width="15.33203125" customWidth="1"/>
    <col min="8" max="8" width="64.6640625" customWidth="1"/>
    <col min="9" max="9" width="18.109375" customWidth="1"/>
    <col min="10" max="10" width="14.5546875" customWidth="1"/>
    <col min="11" max="11" width="16.44140625" customWidth="1"/>
    <col min="12" max="12" width="13.109375" customWidth="1"/>
  </cols>
  <sheetData>
    <row r="1" spans="2:8" ht="30" customHeight="1">
      <c r="B1" s="1" t="s">
        <v>0</v>
      </c>
    </row>
    <row r="2" spans="2:8" ht="25.5" customHeight="1">
      <c r="B2" s="1" t="s">
        <v>1</v>
      </c>
      <c r="E2" s="2"/>
      <c r="F2" s="2"/>
    </row>
    <row r="3" spans="2:8" ht="12.75" customHeight="1">
      <c r="B3" s="1"/>
      <c r="E3" s="2"/>
      <c r="F3" s="2"/>
    </row>
    <row r="4" spans="2:8" ht="32.25" customHeight="1">
      <c r="B4" s="363" t="s">
        <v>80</v>
      </c>
      <c r="C4" s="363"/>
      <c r="D4" s="363"/>
      <c r="E4" s="363"/>
      <c r="F4" s="363"/>
      <c r="G4" s="363"/>
      <c r="H4" s="363"/>
    </row>
    <row r="5" spans="2:8" ht="31.5" customHeight="1">
      <c r="B5" s="363" t="s">
        <v>2</v>
      </c>
      <c r="C5" s="363"/>
      <c r="D5" s="363"/>
      <c r="E5" s="363"/>
      <c r="F5" s="363"/>
      <c r="G5" s="363"/>
      <c r="H5" s="363"/>
    </row>
    <row r="6" spans="2:8" ht="26.25" customHeight="1">
      <c r="B6" s="364" t="s">
        <v>3</v>
      </c>
      <c r="C6" s="364"/>
      <c r="D6" s="364"/>
      <c r="E6" s="364"/>
      <c r="F6" s="364"/>
      <c r="G6" s="364"/>
      <c r="H6" s="364"/>
    </row>
    <row r="7" spans="2:8" ht="73.5" customHeight="1">
      <c r="B7" s="3" t="s">
        <v>4</v>
      </c>
      <c r="C7" s="365" t="s">
        <v>5</v>
      </c>
      <c r="D7" s="366"/>
      <c r="E7" s="4" t="s">
        <v>6</v>
      </c>
      <c r="F7" s="4" t="s">
        <v>7</v>
      </c>
      <c r="G7" s="4" t="s">
        <v>8</v>
      </c>
      <c r="H7" s="5" t="s">
        <v>9</v>
      </c>
    </row>
    <row r="8" spans="2:8" ht="39" customHeight="1">
      <c r="B8" s="367"/>
      <c r="C8" s="347" t="s">
        <v>10</v>
      </c>
      <c r="D8" s="347"/>
      <c r="E8" s="40">
        <v>1363.09</v>
      </c>
      <c r="F8" s="42">
        <v>2.73</v>
      </c>
      <c r="G8" s="68">
        <v>2</v>
      </c>
      <c r="H8" s="8"/>
    </row>
    <row r="9" spans="2:8" ht="39" customHeight="1">
      <c r="B9" s="368"/>
      <c r="C9" s="347" t="s">
        <v>11</v>
      </c>
      <c r="D9" s="347"/>
      <c r="E9" s="39">
        <v>6771.79</v>
      </c>
      <c r="F9" s="43">
        <v>2.73</v>
      </c>
      <c r="G9" s="54">
        <v>4</v>
      </c>
      <c r="H9" s="8"/>
    </row>
    <row r="10" spans="2:8" ht="39" customHeight="1">
      <c r="B10" s="368"/>
      <c r="C10" s="347" t="s">
        <v>12</v>
      </c>
      <c r="D10" s="347"/>
      <c r="E10" s="39">
        <v>2628.68</v>
      </c>
      <c r="F10" s="43">
        <v>1.87</v>
      </c>
      <c r="G10" s="54">
        <v>4</v>
      </c>
      <c r="H10" s="8"/>
    </row>
    <row r="11" spans="2:8" ht="39" customHeight="1">
      <c r="B11" s="368"/>
      <c r="C11" s="347" t="s">
        <v>13</v>
      </c>
      <c r="D11" s="347"/>
      <c r="E11" s="41">
        <v>2311.41</v>
      </c>
      <c r="F11" s="44">
        <v>1.87</v>
      </c>
      <c r="G11" s="55">
        <v>4</v>
      </c>
      <c r="H11" s="8"/>
    </row>
    <row r="12" spans="2:8" ht="39" customHeight="1">
      <c r="B12" s="368"/>
      <c r="C12" s="347" t="s">
        <v>14</v>
      </c>
      <c r="D12" s="347"/>
      <c r="E12" s="39">
        <v>5695.72</v>
      </c>
      <c r="F12" s="43">
        <v>2.73</v>
      </c>
      <c r="G12" s="54">
        <v>5</v>
      </c>
      <c r="H12" s="66"/>
    </row>
    <row r="13" spans="2:8" ht="39" customHeight="1">
      <c r="B13" s="368"/>
      <c r="C13" s="361" t="s">
        <v>15</v>
      </c>
      <c r="D13" s="362"/>
      <c r="E13" s="369">
        <v>1983.35</v>
      </c>
      <c r="F13" s="46">
        <v>2.73</v>
      </c>
      <c r="G13" s="62">
        <v>3</v>
      </c>
      <c r="H13" s="8"/>
    </row>
    <row r="14" spans="2:8" ht="39" customHeight="1">
      <c r="B14" s="368"/>
      <c r="C14" s="361" t="s">
        <v>16</v>
      </c>
      <c r="D14" s="362"/>
      <c r="E14" s="369"/>
      <c r="F14" s="46">
        <v>9.09</v>
      </c>
      <c r="G14" s="62">
        <v>1</v>
      </c>
      <c r="H14" s="8"/>
    </row>
    <row r="15" spans="2:8" ht="39" customHeight="1">
      <c r="B15" s="368"/>
      <c r="C15" s="352" t="s">
        <v>17</v>
      </c>
      <c r="D15" s="353"/>
      <c r="E15" s="369"/>
      <c r="F15" s="43">
        <v>1.87</v>
      </c>
      <c r="G15" s="62">
        <v>1</v>
      </c>
      <c r="H15" s="8"/>
    </row>
    <row r="16" spans="2:8" ht="39" customHeight="1">
      <c r="B16" s="368"/>
      <c r="C16" s="355" t="s">
        <v>18</v>
      </c>
      <c r="D16" s="356"/>
      <c r="E16" s="369"/>
      <c r="F16" s="42">
        <v>6.24</v>
      </c>
      <c r="G16" s="69">
        <v>1</v>
      </c>
      <c r="H16" s="8"/>
    </row>
    <row r="17" spans="2:46" ht="39" customHeight="1">
      <c r="B17" s="368"/>
      <c r="C17" s="347" t="s">
        <v>19</v>
      </c>
      <c r="D17" s="347"/>
      <c r="E17" s="39">
        <v>2653.72</v>
      </c>
      <c r="F17" s="43">
        <v>6.24</v>
      </c>
      <c r="G17" s="56">
        <v>5</v>
      </c>
      <c r="H17" s="8"/>
    </row>
    <row r="18" spans="2:46" ht="39" customHeight="1">
      <c r="B18" s="368"/>
      <c r="C18" s="347" t="s">
        <v>20</v>
      </c>
      <c r="D18" s="347"/>
      <c r="E18" s="39">
        <v>2233.71</v>
      </c>
      <c r="F18" s="43">
        <v>2.73</v>
      </c>
      <c r="G18" s="56">
        <v>3</v>
      </c>
      <c r="H18" s="8"/>
    </row>
    <row r="19" spans="2:46" ht="39" customHeight="1">
      <c r="B19" s="368"/>
      <c r="C19" s="361" t="s">
        <v>21</v>
      </c>
      <c r="D19" s="362"/>
      <c r="E19" s="41">
        <v>1550.25</v>
      </c>
      <c r="F19" s="46">
        <v>4.7699999999999996</v>
      </c>
      <c r="G19" s="62">
        <v>2</v>
      </c>
      <c r="H19" s="8"/>
    </row>
    <row r="20" spans="2:46" ht="39" customHeight="1">
      <c r="B20" s="368"/>
      <c r="C20" s="361" t="s">
        <v>22</v>
      </c>
      <c r="D20" s="362"/>
      <c r="E20" s="41">
        <v>1418.82</v>
      </c>
      <c r="F20" s="43">
        <v>1.87</v>
      </c>
      <c r="G20" s="62">
        <v>3</v>
      </c>
      <c r="H20" s="8"/>
    </row>
    <row r="21" spans="2:46" ht="39" customHeight="1">
      <c r="B21" s="368"/>
      <c r="C21" s="352" t="s">
        <v>23</v>
      </c>
      <c r="D21" s="353"/>
      <c r="E21" s="39">
        <v>84.63</v>
      </c>
      <c r="F21" s="46">
        <v>2.73</v>
      </c>
      <c r="G21" s="63">
        <v>1</v>
      </c>
      <c r="H21" s="8"/>
    </row>
    <row r="22" spans="2:46" ht="39" customHeight="1">
      <c r="B22" s="368"/>
      <c r="C22" s="347" t="s">
        <v>24</v>
      </c>
      <c r="D22" s="347"/>
      <c r="E22" s="39">
        <v>43.01</v>
      </c>
      <c r="F22" s="43">
        <v>1.87</v>
      </c>
      <c r="G22" s="56">
        <v>1</v>
      </c>
      <c r="H22" s="8"/>
    </row>
    <row r="23" spans="2:46" s="11" customFormat="1" ht="39" customHeight="1">
      <c r="B23" s="368"/>
      <c r="C23" s="361" t="s">
        <v>25</v>
      </c>
      <c r="D23" s="362"/>
      <c r="E23" s="41">
        <v>363.09</v>
      </c>
      <c r="F23" s="46">
        <v>2.73</v>
      </c>
      <c r="G23" s="64">
        <v>2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2:46" s="11" customFormat="1" ht="39" customHeight="1">
      <c r="B24" s="368"/>
      <c r="C24" s="352" t="s">
        <v>26</v>
      </c>
      <c r="D24" s="353"/>
      <c r="E24" s="39">
        <v>192.89</v>
      </c>
      <c r="F24" s="43">
        <v>1.87</v>
      </c>
      <c r="G24" s="64">
        <v>1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2:46" s="11" customFormat="1" ht="39" customHeight="1">
      <c r="B25" s="368"/>
      <c r="C25" s="347" t="s">
        <v>27</v>
      </c>
      <c r="D25" s="354"/>
      <c r="E25" s="39" t="s">
        <v>28</v>
      </c>
      <c r="F25" s="43">
        <v>1.87</v>
      </c>
      <c r="G25" s="64">
        <v>3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2:46" s="11" customFormat="1" ht="39" customHeight="1">
      <c r="B26" s="368"/>
      <c r="C26" s="347" t="s">
        <v>29</v>
      </c>
      <c r="D26" s="354"/>
      <c r="E26" s="39">
        <v>5162.8100000000004</v>
      </c>
      <c r="F26" s="43">
        <v>4.7699999999999996</v>
      </c>
      <c r="G26" s="65">
        <v>3</v>
      </c>
      <c r="H26" s="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2:46" s="11" customFormat="1" ht="39" customHeight="1">
      <c r="B27" s="368"/>
      <c r="C27" s="355" t="s">
        <v>30</v>
      </c>
      <c r="D27" s="356"/>
      <c r="E27" s="45">
        <v>1788.75</v>
      </c>
      <c r="F27" s="44">
        <v>4.7699999999999996</v>
      </c>
      <c r="G27" s="70">
        <v>1</v>
      </c>
      <c r="H27" s="8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2:46" s="11" customFormat="1" ht="39" customHeight="1">
      <c r="B28" s="345"/>
      <c r="C28" s="357" t="s">
        <v>31</v>
      </c>
      <c r="D28" s="358"/>
      <c r="E28" s="74">
        <v>155.61000000000001</v>
      </c>
      <c r="F28" s="75">
        <v>2.73</v>
      </c>
      <c r="G28" s="76">
        <v>1</v>
      </c>
      <c r="H28" s="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2:46" s="11" customFormat="1" ht="39" customHeight="1">
      <c r="B29" s="345"/>
      <c r="C29" s="359" t="s">
        <v>32</v>
      </c>
      <c r="D29" s="360"/>
      <c r="E29" s="77">
        <v>1313</v>
      </c>
      <c r="F29" s="78">
        <v>2.73</v>
      </c>
      <c r="G29" s="79">
        <v>6</v>
      </c>
      <c r="H29" s="8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2:46" ht="30" customHeight="1">
      <c r="B30" s="12" t="s">
        <v>33</v>
      </c>
      <c r="C30" s="71"/>
      <c r="D30" s="71"/>
      <c r="E30" s="72">
        <f>SUM(E8:E29)</f>
        <v>37714.329999999994</v>
      </c>
      <c r="F30" s="72">
        <f>SUM(F8:F29)</f>
        <v>73.539999999999978</v>
      </c>
      <c r="G30" s="73">
        <f>SUM(G8:G29)</f>
        <v>57</v>
      </c>
      <c r="H30" s="67"/>
    </row>
    <row r="31" spans="2:46" ht="28.5" customHeight="1">
      <c r="B31" s="344" t="s">
        <v>34</v>
      </c>
      <c r="C31" s="344" t="s">
        <v>35</v>
      </c>
      <c r="D31" s="347" t="s">
        <v>36</v>
      </c>
      <c r="E31" s="351">
        <v>104.47</v>
      </c>
      <c r="F31" s="47">
        <v>5</v>
      </c>
      <c r="G31" s="350">
        <v>6</v>
      </c>
      <c r="H31" s="13" t="s">
        <v>37</v>
      </c>
    </row>
    <row r="32" spans="2:46" ht="28.5" customHeight="1">
      <c r="B32" s="345"/>
      <c r="C32" s="345"/>
      <c r="D32" s="347"/>
      <c r="E32" s="351"/>
      <c r="F32" s="47">
        <v>25</v>
      </c>
      <c r="G32" s="350"/>
      <c r="H32" s="13" t="s">
        <v>38</v>
      </c>
      <c r="I32" s="14"/>
      <c r="J32" s="14"/>
      <c r="K32" s="14"/>
    </row>
    <row r="33" spans="2:11" ht="28.5" customHeight="1">
      <c r="B33" s="345"/>
      <c r="C33" s="345"/>
      <c r="D33" s="347" t="s">
        <v>39</v>
      </c>
      <c r="E33" s="351">
        <v>39.5</v>
      </c>
      <c r="F33" s="47">
        <v>3.7</v>
      </c>
      <c r="G33" s="350">
        <v>2</v>
      </c>
      <c r="H33" s="13" t="s">
        <v>40</v>
      </c>
      <c r="I33" s="14"/>
      <c r="J33" s="14"/>
      <c r="K33" s="14"/>
    </row>
    <row r="34" spans="2:11" ht="28.5" customHeight="1">
      <c r="B34" s="345"/>
      <c r="C34" s="345"/>
      <c r="D34" s="347"/>
      <c r="E34" s="351"/>
      <c r="F34" s="47">
        <v>18.5</v>
      </c>
      <c r="G34" s="350"/>
      <c r="H34" s="13" t="s">
        <v>41</v>
      </c>
      <c r="I34" s="14"/>
      <c r="J34" s="14"/>
      <c r="K34" s="14"/>
    </row>
    <row r="35" spans="2:11" ht="28.5" customHeight="1">
      <c r="B35" s="345"/>
      <c r="C35" s="345"/>
      <c r="D35" s="347" t="s">
        <v>42</v>
      </c>
      <c r="E35" s="351">
        <v>0</v>
      </c>
      <c r="F35" s="47">
        <v>3.7</v>
      </c>
      <c r="G35" s="350">
        <v>0</v>
      </c>
      <c r="H35" s="80" t="s">
        <v>77</v>
      </c>
      <c r="I35" s="14"/>
      <c r="J35" s="14"/>
      <c r="K35" s="14"/>
    </row>
    <row r="36" spans="2:11" ht="28.5" customHeight="1">
      <c r="B36" s="345"/>
      <c r="C36" s="345"/>
      <c r="D36" s="347"/>
      <c r="E36" s="351"/>
      <c r="F36" s="47">
        <v>18.5</v>
      </c>
      <c r="G36" s="350"/>
      <c r="H36" s="80" t="s">
        <v>77</v>
      </c>
      <c r="I36" s="14"/>
      <c r="J36" s="14"/>
      <c r="K36" s="14"/>
    </row>
    <row r="37" spans="2:11" ht="28.5" customHeight="1">
      <c r="B37" s="345"/>
      <c r="C37" s="345"/>
      <c r="D37" s="347" t="s">
        <v>43</v>
      </c>
      <c r="E37" s="351">
        <v>0</v>
      </c>
      <c r="F37" s="47">
        <v>5</v>
      </c>
      <c r="G37" s="350">
        <v>0</v>
      </c>
      <c r="H37" s="80" t="s">
        <v>77</v>
      </c>
      <c r="I37" s="14"/>
      <c r="J37" s="14"/>
      <c r="K37" s="14"/>
    </row>
    <row r="38" spans="2:11" ht="28.5" customHeight="1">
      <c r="B38" s="345"/>
      <c r="C38" s="346"/>
      <c r="D38" s="347"/>
      <c r="E38" s="351"/>
      <c r="F38" s="47">
        <v>25</v>
      </c>
      <c r="G38" s="350"/>
      <c r="H38" s="80" t="s">
        <v>77</v>
      </c>
      <c r="I38" s="14"/>
      <c r="J38" s="14"/>
      <c r="K38" s="14"/>
    </row>
    <row r="39" spans="2:11" ht="28.5" customHeight="1">
      <c r="B39" s="345"/>
      <c r="C39" s="344" t="s">
        <v>45</v>
      </c>
      <c r="D39" s="347" t="s">
        <v>46</v>
      </c>
      <c r="E39" s="348">
        <v>65</v>
      </c>
      <c r="F39" s="47">
        <v>25</v>
      </c>
      <c r="G39" s="335">
        <v>4</v>
      </c>
      <c r="H39" s="13" t="s">
        <v>37</v>
      </c>
      <c r="I39" s="14"/>
      <c r="J39" s="14"/>
      <c r="K39" s="14"/>
    </row>
    <row r="40" spans="2:11" ht="28.5" customHeight="1">
      <c r="B40" s="345"/>
      <c r="C40" s="345"/>
      <c r="D40" s="347"/>
      <c r="E40" s="349"/>
      <c r="F40" s="47">
        <v>4</v>
      </c>
      <c r="G40" s="336"/>
      <c r="H40" s="13" t="s">
        <v>44</v>
      </c>
      <c r="I40" s="14"/>
      <c r="J40" s="14"/>
      <c r="K40" s="14"/>
    </row>
    <row r="41" spans="2:11" ht="28.5" customHeight="1">
      <c r="B41" s="345"/>
      <c r="C41" s="345"/>
      <c r="D41" s="347" t="s">
        <v>47</v>
      </c>
      <c r="E41" s="348">
        <v>0</v>
      </c>
      <c r="F41" s="47">
        <v>3.7</v>
      </c>
      <c r="G41" s="335">
        <v>0</v>
      </c>
      <c r="H41" s="80" t="s">
        <v>77</v>
      </c>
      <c r="I41" s="14"/>
      <c r="J41" s="14"/>
      <c r="K41" s="14"/>
    </row>
    <row r="42" spans="2:11" ht="28.5" customHeight="1">
      <c r="B42" s="345"/>
      <c r="C42" s="346"/>
      <c r="D42" s="347"/>
      <c r="E42" s="349"/>
      <c r="F42" s="47">
        <v>18.5</v>
      </c>
      <c r="G42" s="336"/>
      <c r="H42" s="80" t="s">
        <v>77</v>
      </c>
      <c r="I42" s="14"/>
      <c r="J42" s="14"/>
      <c r="K42" s="14"/>
    </row>
    <row r="43" spans="2:11" ht="28.5" customHeight="1">
      <c r="B43" s="345"/>
      <c r="C43" s="344" t="s">
        <v>48</v>
      </c>
      <c r="D43" s="347" t="s">
        <v>49</v>
      </c>
      <c r="E43" s="348">
        <v>0</v>
      </c>
      <c r="F43" s="47">
        <v>3.7</v>
      </c>
      <c r="G43" s="335">
        <v>0</v>
      </c>
      <c r="H43" s="80" t="s">
        <v>77</v>
      </c>
      <c r="I43" s="14"/>
      <c r="J43" s="14"/>
      <c r="K43" s="14"/>
    </row>
    <row r="44" spans="2:11" ht="28.5" customHeight="1">
      <c r="B44" s="345"/>
      <c r="C44" s="345"/>
      <c r="D44" s="347"/>
      <c r="E44" s="349"/>
      <c r="F44" s="47">
        <v>18.5</v>
      </c>
      <c r="G44" s="336"/>
      <c r="H44" s="80" t="s">
        <v>77</v>
      </c>
      <c r="I44" s="14"/>
      <c r="J44" s="14"/>
      <c r="K44" s="14"/>
    </row>
    <row r="45" spans="2:11" ht="28.5" customHeight="1">
      <c r="B45" s="345"/>
      <c r="C45" s="345"/>
      <c r="D45" s="347" t="s">
        <v>50</v>
      </c>
      <c r="E45" s="348">
        <v>0</v>
      </c>
      <c r="F45" s="47">
        <v>3.7</v>
      </c>
      <c r="G45" s="335">
        <v>0</v>
      </c>
      <c r="H45" s="80" t="s">
        <v>77</v>
      </c>
      <c r="I45" s="14"/>
      <c r="J45" s="14"/>
      <c r="K45" s="14"/>
    </row>
    <row r="46" spans="2:11" ht="28.5" customHeight="1">
      <c r="B46" s="345"/>
      <c r="C46" s="345"/>
      <c r="D46" s="347"/>
      <c r="E46" s="349"/>
      <c r="F46" s="47">
        <v>18.5</v>
      </c>
      <c r="G46" s="336"/>
      <c r="H46" s="80" t="s">
        <v>77</v>
      </c>
      <c r="I46" s="14"/>
      <c r="J46" s="14"/>
      <c r="K46" s="14"/>
    </row>
    <row r="47" spans="2:11" ht="28.5" customHeight="1">
      <c r="B47" s="345"/>
      <c r="C47" s="345"/>
      <c r="D47" s="347" t="s">
        <v>46</v>
      </c>
      <c r="E47" s="348">
        <v>0</v>
      </c>
      <c r="F47" s="47">
        <v>6.2</v>
      </c>
      <c r="G47" s="335">
        <v>0</v>
      </c>
      <c r="H47" s="80" t="s">
        <v>77</v>
      </c>
      <c r="I47" s="14"/>
      <c r="J47" s="14"/>
      <c r="K47" s="14"/>
    </row>
    <row r="48" spans="2:11" ht="28.5" customHeight="1">
      <c r="B48" s="345"/>
      <c r="C48" s="346"/>
      <c r="D48" s="347"/>
      <c r="E48" s="349"/>
      <c r="F48" s="47">
        <v>37</v>
      </c>
      <c r="G48" s="336"/>
      <c r="H48" s="80" t="s">
        <v>77</v>
      </c>
      <c r="I48" s="14"/>
      <c r="J48" s="14"/>
      <c r="K48" s="14"/>
    </row>
    <row r="49" spans="1:11" ht="28.5" customHeight="1">
      <c r="B49" s="345"/>
      <c r="C49" s="344" t="s">
        <v>53</v>
      </c>
      <c r="D49" s="347" t="s">
        <v>54</v>
      </c>
      <c r="E49" s="348">
        <v>211.36</v>
      </c>
      <c r="F49" s="47">
        <v>3.7</v>
      </c>
      <c r="G49" s="335">
        <v>10</v>
      </c>
      <c r="H49" s="13" t="s">
        <v>40</v>
      </c>
      <c r="I49" s="14"/>
      <c r="J49" s="14"/>
      <c r="K49" s="14"/>
    </row>
    <row r="50" spans="1:11" ht="28.5" customHeight="1">
      <c r="B50" s="345"/>
      <c r="C50" s="345"/>
      <c r="D50" s="347"/>
      <c r="E50" s="349"/>
      <c r="F50" s="47">
        <v>18.5</v>
      </c>
      <c r="G50" s="336"/>
      <c r="H50" s="13" t="s">
        <v>41</v>
      </c>
      <c r="I50" s="14"/>
      <c r="J50" s="14"/>
      <c r="K50" s="14"/>
    </row>
    <row r="51" spans="1:11" ht="28.5" customHeight="1">
      <c r="B51" s="345"/>
      <c r="C51" s="345"/>
      <c r="D51" s="347" t="s">
        <v>55</v>
      </c>
      <c r="E51" s="348">
        <v>1974.7</v>
      </c>
      <c r="F51" s="47">
        <v>6.2</v>
      </c>
      <c r="G51" s="335">
        <v>58</v>
      </c>
      <c r="H51" s="13" t="s">
        <v>51</v>
      </c>
      <c r="I51" s="14"/>
      <c r="J51" s="14"/>
      <c r="K51" s="14"/>
    </row>
    <row r="52" spans="1:11" ht="28.5" customHeight="1">
      <c r="B52" s="345"/>
      <c r="C52" s="345"/>
      <c r="D52" s="347"/>
      <c r="E52" s="349"/>
      <c r="F52" s="47">
        <v>37</v>
      </c>
      <c r="G52" s="336"/>
      <c r="H52" s="13" t="s">
        <v>52</v>
      </c>
      <c r="I52" s="14"/>
      <c r="J52" s="14"/>
      <c r="K52" s="14"/>
    </row>
    <row r="53" spans="1:11" ht="28.5" customHeight="1">
      <c r="B53" s="345"/>
      <c r="C53" s="345"/>
      <c r="D53" s="347" t="s">
        <v>56</v>
      </c>
      <c r="E53" s="348">
        <v>14.36</v>
      </c>
      <c r="F53" s="47">
        <v>3.7</v>
      </c>
      <c r="G53" s="335">
        <v>2</v>
      </c>
      <c r="H53" s="13" t="s">
        <v>40</v>
      </c>
      <c r="I53" s="14"/>
      <c r="J53" s="14"/>
      <c r="K53" s="14"/>
    </row>
    <row r="54" spans="1:11" ht="28.5" customHeight="1">
      <c r="B54" s="346"/>
      <c r="C54" s="346"/>
      <c r="D54" s="347"/>
      <c r="E54" s="349"/>
      <c r="F54" s="47">
        <v>18.5</v>
      </c>
      <c r="G54" s="336"/>
      <c r="H54" s="13" t="s">
        <v>57</v>
      </c>
      <c r="I54" s="14"/>
      <c r="J54" s="14"/>
      <c r="K54" s="14"/>
    </row>
    <row r="55" spans="1:11" ht="48" customHeight="1">
      <c r="B55" s="9"/>
      <c r="C55" s="9" t="s">
        <v>58</v>
      </c>
      <c r="D55" s="6" t="s">
        <v>59</v>
      </c>
      <c r="E55" s="41">
        <v>48.07</v>
      </c>
      <c r="F55" s="47">
        <v>3.7</v>
      </c>
      <c r="G55" s="59">
        <v>2</v>
      </c>
      <c r="H55" s="13" t="s">
        <v>60</v>
      </c>
      <c r="I55" s="14"/>
      <c r="J55" s="14"/>
      <c r="K55" s="14"/>
    </row>
    <row r="56" spans="1:11" ht="25.5" customHeight="1">
      <c r="B56" s="15" t="s">
        <v>33</v>
      </c>
      <c r="C56" s="15"/>
      <c r="D56" s="15"/>
      <c r="E56" s="48">
        <f>SUM(E31:E54)</f>
        <v>2409.3900000000003</v>
      </c>
      <c r="F56" s="48">
        <f>SUM(F31:F54)</f>
        <v>330.79999999999995</v>
      </c>
      <c r="G56" s="57">
        <f>SUM(G31:G54)</f>
        <v>82</v>
      </c>
      <c r="H56" s="16"/>
      <c r="I56" s="14"/>
      <c r="J56" s="14"/>
      <c r="K56" s="14"/>
    </row>
    <row r="57" spans="1:11" ht="31.5" customHeight="1">
      <c r="B57" s="337" t="s">
        <v>61</v>
      </c>
      <c r="C57" s="338"/>
      <c r="D57" s="338"/>
      <c r="E57" s="338"/>
      <c r="F57" s="338"/>
      <c r="G57" s="338"/>
      <c r="H57" s="339"/>
    </row>
    <row r="58" spans="1:11" ht="53.25" customHeight="1">
      <c r="A58" s="17"/>
      <c r="B58" s="4" t="s">
        <v>4</v>
      </c>
      <c r="C58" s="4" t="s">
        <v>62</v>
      </c>
      <c r="D58" s="4"/>
      <c r="E58" s="4" t="s">
        <v>6</v>
      </c>
      <c r="F58" s="4" t="s">
        <v>63</v>
      </c>
      <c r="G58" s="4" t="s">
        <v>8</v>
      </c>
      <c r="H58" s="5" t="s">
        <v>64</v>
      </c>
    </row>
    <row r="59" spans="1:11" ht="28.8">
      <c r="B59" s="18" t="s">
        <v>65</v>
      </c>
      <c r="C59" s="19" t="s">
        <v>66</v>
      </c>
      <c r="D59" s="19"/>
      <c r="E59" s="49">
        <v>74128.759999999995</v>
      </c>
      <c r="F59" s="49">
        <v>73675.75</v>
      </c>
      <c r="G59" s="20">
        <v>1</v>
      </c>
      <c r="H59" s="21" t="s">
        <v>67</v>
      </c>
      <c r="I59" s="22"/>
    </row>
    <row r="60" spans="1:11" s="11" customFormat="1" ht="24.75" customHeight="1">
      <c r="B60" s="23"/>
      <c r="C60" s="24" t="s">
        <v>68</v>
      </c>
      <c r="D60" s="24"/>
      <c r="E60" s="47">
        <v>4383.9399999999996</v>
      </c>
      <c r="F60" s="47">
        <v>5816.69</v>
      </c>
      <c r="G60" s="25">
        <v>1</v>
      </c>
      <c r="H60" s="26" t="s">
        <v>67</v>
      </c>
    </row>
    <row r="61" spans="1:11" ht="28.5" customHeight="1">
      <c r="B61" s="18"/>
      <c r="C61" s="19" t="s">
        <v>69</v>
      </c>
      <c r="D61" s="19"/>
      <c r="E61" s="47">
        <v>14073.66</v>
      </c>
      <c r="F61" s="47">
        <v>16786.64</v>
      </c>
      <c r="G61" s="27">
        <v>1</v>
      </c>
      <c r="H61" s="26" t="s">
        <v>67</v>
      </c>
    </row>
    <row r="62" spans="1:11" ht="29.25" customHeight="1">
      <c r="B62" s="28" t="s">
        <v>33</v>
      </c>
      <c r="C62" s="29"/>
      <c r="D62" s="29"/>
      <c r="E62" s="50">
        <f>SUM(E59:E61)</f>
        <v>92586.36</v>
      </c>
      <c r="F62" s="50">
        <f>SUM(F59:F61)</f>
        <v>96279.08</v>
      </c>
      <c r="G62" s="81">
        <f>SUM(G59:G61)</f>
        <v>3</v>
      </c>
      <c r="H62" s="26"/>
    </row>
    <row r="63" spans="1:11" ht="24" customHeight="1">
      <c r="B63" s="18" t="s">
        <v>70</v>
      </c>
      <c r="C63" s="19" t="s">
        <v>71</v>
      </c>
      <c r="D63" s="19"/>
      <c r="E63" s="49">
        <v>988.38</v>
      </c>
      <c r="F63" s="49">
        <v>1701.7</v>
      </c>
      <c r="G63" s="20">
        <v>1</v>
      </c>
      <c r="H63" s="21" t="s">
        <v>72</v>
      </c>
    </row>
    <row r="64" spans="1:11" ht="27" customHeight="1">
      <c r="B64" s="28" t="s">
        <v>33</v>
      </c>
      <c r="C64" s="29"/>
      <c r="D64" s="29"/>
      <c r="E64" s="51">
        <f>SUM(E63)</f>
        <v>988.38</v>
      </c>
      <c r="F64" s="51">
        <f>SUM(F63)</f>
        <v>1701.7</v>
      </c>
      <c r="G64" s="30">
        <f>SUM(G63)</f>
        <v>1</v>
      </c>
      <c r="H64" s="21"/>
    </row>
    <row r="65" spans="2:8" ht="27" customHeight="1">
      <c r="B65" s="18" t="s">
        <v>73</v>
      </c>
      <c r="C65" s="29"/>
      <c r="D65" s="29"/>
      <c r="E65" s="60">
        <v>0</v>
      </c>
      <c r="F65" s="60">
        <v>0</v>
      </c>
      <c r="G65" s="61">
        <v>0</v>
      </c>
      <c r="H65" s="80" t="s">
        <v>77</v>
      </c>
    </row>
    <row r="66" spans="2:8" ht="16.5" customHeight="1">
      <c r="B66" s="28" t="s">
        <v>33</v>
      </c>
      <c r="C66" s="29"/>
      <c r="D66" s="29"/>
      <c r="E66" s="51">
        <f>SUM(E65)</f>
        <v>0</v>
      </c>
      <c r="F66" s="51">
        <f>SUM(F65)</f>
        <v>0</v>
      </c>
      <c r="G66" s="30">
        <f>SUM(G65)</f>
        <v>0</v>
      </c>
      <c r="H66" s="21"/>
    </row>
    <row r="67" spans="2:8" ht="30.75" customHeight="1">
      <c r="B67" s="18" t="s">
        <v>74</v>
      </c>
      <c r="C67" s="31"/>
      <c r="D67" s="31"/>
      <c r="E67" s="49">
        <v>0</v>
      </c>
      <c r="F67" s="49">
        <v>0</v>
      </c>
      <c r="G67" s="20">
        <v>0</v>
      </c>
      <c r="H67" s="80" t="s">
        <v>77</v>
      </c>
    </row>
    <row r="68" spans="2:8" ht="30" customHeight="1">
      <c r="B68" s="28" t="s">
        <v>33</v>
      </c>
      <c r="C68" s="29"/>
      <c r="D68" s="29"/>
      <c r="E68" s="51">
        <f>SUM(E67)</f>
        <v>0</v>
      </c>
      <c r="F68" s="51">
        <f>SUM(F67)</f>
        <v>0</v>
      </c>
      <c r="G68" s="82">
        <f>SUM(G67)</f>
        <v>0</v>
      </c>
      <c r="H68" s="21"/>
    </row>
    <row r="69" spans="2:8" ht="17.25" customHeight="1">
      <c r="B69" s="340"/>
      <c r="C69" s="341"/>
      <c r="D69" s="341"/>
      <c r="E69" s="341"/>
      <c r="F69" s="341"/>
      <c r="G69" s="341"/>
      <c r="H69" s="342"/>
    </row>
    <row r="70" spans="2:8" ht="42.75" customHeight="1">
      <c r="B70" s="15" t="s">
        <v>75</v>
      </c>
      <c r="C70" s="29"/>
      <c r="D70" s="29"/>
      <c r="E70" s="53">
        <f>SUM(E30+E56+E62+E64+E66+E68)</f>
        <v>133698.46</v>
      </c>
      <c r="F70" s="53">
        <f>SUM(F30+F56+F62+F64+F66+F68)</f>
        <v>98385.12</v>
      </c>
      <c r="G70" s="32">
        <f>SUM(G30+G56+G62+G64+G66+G68)</f>
        <v>143</v>
      </c>
      <c r="H70" s="21"/>
    </row>
    <row r="71" spans="2:8">
      <c r="B71" s="33"/>
      <c r="C71" s="34"/>
      <c r="D71" s="34"/>
      <c r="E71" s="34"/>
      <c r="F71" s="34"/>
      <c r="G71" s="34"/>
    </row>
    <row r="72" spans="2:8">
      <c r="B72" s="35" t="s">
        <v>78</v>
      </c>
    </row>
    <row r="73" spans="2:8">
      <c r="B73" s="35"/>
    </row>
    <row r="74" spans="2:8">
      <c r="B74" s="36" t="s">
        <v>647</v>
      </c>
    </row>
    <row r="75" spans="2:8">
      <c r="B75" s="36" t="s">
        <v>648</v>
      </c>
    </row>
    <row r="76" spans="2:8">
      <c r="B76" s="37"/>
    </row>
    <row r="77" spans="2:8">
      <c r="B77" t="s">
        <v>76</v>
      </c>
    </row>
    <row r="78" spans="2:8">
      <c r="B78" s="343"/>
      <c r="C78" s="343"/>
      <c r="D78" s="343"/>
      <c r="E78" s="343"/>
    </row>
    <row r="79" spans="2:8">
      <c r="B79" t="s">
        <v>79</v>
      </c>
    </row>
    <row r="80" spans="2:8" ht="15.75" customHeight="1"/>
  </sheetData>
  <mergeCells count="72">
    <mergeCell ref="B4:H4"/>
    <mergeCell ref="B5:H5"/>
    <mergeCell ref="B6:H6"/>
    <mergeCell ref="C7:D7"/>
    <mergeCell ref="B8:B29"/>
    <mergeCell ref="C8:D8"/>
    <mergeCell ref="C9:D9"/>
    <mergeCell ref="C10:D10"/>
    <mergeCell ref="C11:D11"/>
    <mergeCell ref="C12:D12"/>
    <mergeCell ref="C23:D23"/>
    <mergeCell ref="C13:D13"/>
    <mergeCell ref="E13:E16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D35:D36"/>
    <mergeCell ref="E35:E36"/>
    <mergeCell ref="C24:D24"/>
    <mergeCell ref="C25:D25"/>
    <mergeCell ref="C26:D26"/>
    <mergeCell ref="C27:D27"/>
    <mergeCell ref="C28:D28"/>
    <mergeCell ref="C29:D29"/>
    <mergeCell ref="G35:G36"/>
    <mergeCell ref="D37:D38"/>
    <mergeCell ref="E37:E38"/>
    <mergeCell ref="G37:G38"/>
    <mergeCell ref="C39:C42"/>
    <mergeCell ref="D39:D40"/>
    <mergeCell ref="E39:E40"/>
    <mergeCell ref="G39:G40"/>
    <mergeCell ref="D41:D42"/>
    <mergeCell ref="E41:E42"/>
    <mergeCell ref="C31:C38"/>
    <mergeCell ref="D31:D32"/>
    <mergeCell ref="E31:E32"/>
    <mergeCell ref="G31:G32"/>
    <mergeCell ref="D33:D34"/>
    <mergeCell ref="E33:E34"/>
    <mergeCell ref="G41:G42"/>
    <mergeCell ref="C43:C48"/>
    <mergeCell ref="D43:D44"/>
    <mergeCell ref="E43:E44"/>
    <mergeCell ref="G43:G44"/>
    <mergeCell ref="D45:D46"/>
    <mergeCell ref="E45:E46"/>
    <mergeCell ref="G45:G46"/>
    <mergeCell ref="D47:D48"/>
    <mergeCell ref="E47:E48"/>
    <mergeCell ref="G53:G54"/>
    <mergeCell ref="B57:H57"/>
    <mergeCell ref="B69:H69"/>
    <mergeCell ref="B78:E78"/>
    <mergeCell ref="G47:G48"/>
    <mergeCell ref="C49:C54"/>
    <mergeCell ref="D49:D50"/>
    <mergeCell ref="E49:E50"/>
    <mergeCell ref="G49:G50"/>
    <mergeCell ref="D51:D52"/>
    <mergeCell ref="E51:E52"/>
    <mergeCell ref="G51:G52"/>
    <mergeCell ref="D53:D54"/>
    <mergeCell ref="E53:E54"/>
    <mergeCell ref="B31:B54"/>
    <mergeCell ref="G33:G34"/>
  </mergeCell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21C9-7F05-4936-9223-0DC2AFAC6926}">
  <dimension ref="A3:F5"/>
  <sheetViews>
    <sheetView topLeftCell="B1" workbookViewId="0">
      <selection activeCell="F11" sqref="F11"/>
    </sheetView>
  </sheetViews>
  <sheetFormatPr defaultColWidth="12.44140625" defaultRowHeight="14.4"/>
  <cols>
    <col min="1" max="1" width="75.44140625" customWidth="1"/>
    <col min="2" max="2" width="41.33203125" customWidth="1"/>
    <col min="3" max="3" width="40.21875" customWidth="1"/>
    <col min="4" max="4" width="62.33203125" customWidth="1"/>
    <col min="6" max="6" width="78.44140625" customWidth="1"/>
  </cols>
  <sheetData>
    <row r="3" spans="1:6" ht="31.2">
      <c r="B3" s="328" t="s">
        <v>644</v>
      </c>
      <c r="C3" s="329" t="s">
        <v>645</v>
      </c>
      <c r="D3" s="329" t="s">
        <v>8</v>
      </c>
    </row>
    <row r="4" spans="1:6" ht="36">
      <c r="A4" s="330" t="s">
        <v>646</v>
      </c>
      <c r="B4" s="331">
        <v>797130.99</v>
      </c>
      <c r="C4" s="331">
        <v>397198.21</v>
      </c>
      <c r="D4" s="332">
        <v>3205</v>
      </c>
      <c r="E4" s="333"/>
      <c r="F4" s="334"/>
    </row>
    <row r="5" spans="1:6">
      <c r="D5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25215-615C-423E-9B6B-47F581168670}">
  <dimension ref="B1:J92"/>
  <sheetViews>
    <sheetView topLeftCell="A75" workbookViewId="0">
      <selection activeCell="E88" sqref="E88"/>
    </sheetView>
  </sheetViews>
  <sheetFormatPr defaultColWidth="9.33203125" defaultRowHeight="14.4"/>
  <cols>
    <col min="1" max="1" width="3.44140625" style="17" customWidth="1"/>
    <col min="2" max="2" width="45.109375" style="17" customWidth="1"/>
    <col min="3" max="3" width="42.33203125" style="17" customWidth="1"/>
    <col min="4" max="4" width="16.6640625" style="17" customWidth="1"/>
    <col min="5" max="5" width="22.109375" style="17" customWidth="1"/>
    <col min="6" max="6" width="15.33203125" style="17" customWidth="1"/>
    <col min="7" max="7" width="34.44140625" style="17" customWidth="1"/>
    <col min="8" max="8" width="9.33203125" style="17"/>
    <col min="9" max="9" width="24.5546875" style="17" customWidth="1"/>
    <col min="10" max="16384" width="9.33203125" style="17"/>
  </cols>
  <sheetData>
    <row r="1" spans="2:7" ht="30" customHeight="1">
      <c r="B1" s="83" t="s">
        <v>0</v>
      </c>
    </row>
    <row r="2" spans="2:7" ht="25.5" customHeight="1">
      <c r="B2" s="83" t="s">
        <v>1</v>
      </c>
      <c r="D2" s="84"/>
      <c r="E2" s="84"/>
    </row>
    <row r="3" spans="2:7" ht="12.75" customHeight="1">
      <c r="B3" s="83"/>
      <c r="D3" s="84"/>
      <c r="E3" s="84"/>
    </row>
    <row r="4" spans="2:7" ht="32.25" customHeight="1">
      <c r="B4" s="374" t="s">
        <v>81</v>
      </c>
      <c r="C4" s="375"/>
      <c r="D4" s="375"/>
      <c r="E4" s="375"/>
      <c r="F4" s="375"/>
      <c r="G4" s="376"/>
    </row>
    <row r="5" spans="2:7" ht="31.5" customHeight="1">
      <c r="B5" s="374" t="s">
        <v>82</v>
      </c>
      <c r="C5" s="375"/>
      <c r="D5" s="375"/>
      <c r="E5" s="375"/>
      <c r="F5" s="375"/>
      <c r="G5" s="376"/>
    </row>
    <row r="6" spans="2:7" ht="26.25" customHeight="1">
      <c r="B6" s="377" t="s">
        <v>3</v>
      </c>
      <c r="C6" s="378"/>
      <c r="D6" s="378"/>
      <c r="E6" s="378"/>
      <c r="F6" s="378"/>
      <c r="G6" s="379"/>
    </row>
    <row r="7" spans="2:7" ht="55.5" customHeight="1">
      <c r="B7" s="85" t="s">
        <v>4</v>
      </c>
      <c r="D7" s="86" t="s">
        <v>6</v>
      </c>
      <c r="E7" s="86" t="s">
        <v>7</v>
      </c>
      <c r="F7" s="86" t="s">
        <v>8</v>
      </c>
      <c r="G7" s="87" t="s">
        <v>9</v>
      </c>
    </row>
    <row r="8" spans="2:7">
      <c r="B8" s="380" t="s">
        <v>83</v>
      </c>
      <c r="C8" s="7" t="s">
        <v>84</v>
      </c>
      <c r="D8" s="49">
        <v>4827.57</v>
      </c>
      <c r="E8" s="104">
        <v>3.75</v>
      </c>
      <c r="F8" s="58">
        <v>14</v>
      </c>
      <c r="G8" s="87"/>
    </row>
    <row r="9" spans="2:7">
      <c r="B9" s="381"/>
      <c r="C9" s="7" t="s">
        <v>84</v>
      </c>
      <c r="D9" s="49">
        <v>1648.12</v>
      </c>
      <c r="E9" s="104">
        <v>12.5</v>
      </c>
      <c r="F9" s="58">
        <v>3</v>
      </c>
      <c r="G9" s="87"/>
    </row>
    <row r="10" spans="2:7">
      <c r="B10" s="381"/>
      <c r="C10" s="7" t="s">
        <v>85</v>
      </c>
      <c r="D10" s="49">
        <v>377.81</v>
      </c>
      <c r="E10" s="104">
        <v>3.75</v>
      </c>
      <c r="F10" s="58">
        <v>6</v>
      </c>
      <c r="G10" s="87"/>
    </row>
    <row r="11" spans="2:7" ht="24">
      <c r="B11" s="381"/>
      <c r="C11" s="7" t="s">
        <v>86</v>
      </c>
      <c r="D11" s="49">
        <v>310.26</v>
      </c>
      <c r="E11" s="104">
        <v>3.75</v>
      </c>
      <c r="F11" s="58">
        <v>3</v>
      </c>
      <c r="G11" s="112" t="s">
        <v>87</v>
      </c>
    </row>
    <row r="12" spans="2:7">
      <c r="B12" s="381"/>
      <c r="C12" s="7" t="s">
        <v>88</v>
      </c>
      <c r="D12" s="49">
        <v>0</v>
      </c>
      <c r="E12" s="104">
        <v>2.7</v>
      </c>
      <c r="F12" s="58">
        <v>0</v>
      </c>
      <c r="G12" s="87"/>
    </row>
    <row r="13" spans="2:7" ht="28.8">
      <c r="B13" s="381"/>
      <c r="C13" s="7" t="s">
        <v>89</v>
      </c>
      <c r="D13" s="49">
        <v>2622</v>
      </c>
      <c r="E13" s="104">
        <v>3.75</v>
      </c>
      <c r="F13" s="58">
        <v>3</v>
      </c>
      <c r="G13" s="87"/>
    </row>
    <row r="14" spans="2:7" ht="28.8">
      <c r="B14" s="381"/>
      <c r="C14" s="7" t="s">
        <v>90</v>
      </c>
      <c r="D14" s="49">
        <v>1650.24</v>
      </c>
      <c r="E14" s="104">
        <v>2.7</v>
      </c>
      <c r="F14" s="58">
        <v>3</v>
      </c>
      <c r="G14" s="87"/>
    </row>
    <row r="15" spans="2:7" ht="28.8">
      <c r="B15" s="381"/>
      <c r="C15" s="7" t="s">
        <v>91</v>
      </c>
      <c r="D15" s="49">
        <v>667.68</v>
      </c>
      <c r="E15" s="104">
        <v>3.75</v>
      </c>
      <c r="F15" s="58">
        <v>1</v>
      </c>
      <c r="G15" s="87"/>
    </row>
    <row r="16" spans="2:7" ht="28.8">
      <c r="B16" s="381"/>
      <c r="C16" s="7" t="s">
        <v>92</v>
      </c>
      <c r="D16" s="49">
        <v>1882.44</v>
      </c>
      <c r="E16" s="104">
        <v>2.7</v>
      </c>
      <c r="F16" s="58">
        <v>3</v>
      </c>
      <c r="G16" s="87"/>
    </row>
    <row r="17" spans="2:7" ht="27.15" customHeight="1">
      <c r="B17" s="381"/>
      <c r="C17" s="7" t="s">
        <v>93</v>
      </c>
      <c r="D17" s="49">
        <v>0</v>
      </c>
      <c r="E17" s="104">
        <v>2.7</v>
      </c>
      <c r="F17" s="58">
        <v>0</v>
      </c>
      <c r="G17" s="87"/>
    </row>
    <row r="18" spans="2:7" ht="27.15" customHeight="1">
      <c r="B18" s="381"/>
      <c r="C18" s="7" t="s">
        <v>94</v>
      </c>
      <c r="D18" s="49">
        <v>5985.37</v>
      </c>
      <c r="E18" s="104">
        <v>3.75</v>
      </c>
      <c r="F18" s="58">
        <v>14</v>
      </c>
      <c r="G18" s="87"/>
    </row>
    <row r="19" spans="2:7" ht="27.15" customHeight="1">
      <c r="B19" s="381"/>
      <c r="C19" s="7" t="s">
        <v>95</v>
      </c>
      <c r="D19" s="49">
        <v>9366.84</v>
      </c>
      <c r="E19" s="104">
        <v>2.7</v>
      </c>
      <c r="F19" s="58">
        <v>3</v>
      </c>
      <c r="G19" s="87"/>
    </row>
    <row r="20" spans="2:7">
      <c r="B20" s="381"/>
      <c r="C20" s="7" t="s">
        <v>96</v>
      </c>
      <c r="D20" s="49">
        <v>2731.59</v>
      </c>
      <c r="E20" s="104">
        <v>2.7</v>
      </c>
      <c r="F20" s="58">
        <v>15</v>
      </c>
      <c r="G20" s="87"/>
    </row>
    <row r="21" spans="2:7">
      <c r="B21" s="381"/>
      <c r="C21" s="7" t="s">
        <v>97</v>
      </c>
      <c r="D21" s="49">
        <v>0</v>
      </c>
      <c r="E21" s="104">
        <v>2.7</v>
      </c>
      <c r="F21" s="58">
        <v>0</v>
      </c>
      <c r="G21" s="87"/>
    </row>
    <row r="22" spans="2:7">
      <c r="B22" s="381"/>
      <c r="C22" s="7" t="s">
        <v>98</v>
      </c>
      <c r="D22" s="49">
        <v>0</v>
      </c>
      <c r="E22" s="104">
        <v>4.2</v>
      </c>
      <c r="F22" s="58">
        <v>0</v>
      </c>
      <c r="G22" s="87"/>
    </row>
    <row r="23" spans="2:7">
      <c r="B23" s="381"/>
      <c r="C23" s="7" t="s">
        <v>99</v>
      </c>
      <c r="D23" s="49">
        <v>4115.3599999999997</v>
      </c>
      <c r="E23" s="104">
        <v>3.75</v>
      </c>
      <c r="F23" s="58">
        <v>7</v>
      </c>
      <c r="G23" s="87"/>
    </row>
    <row r="24" spans="2:7">
      <c r="B24" s="381"/>
      <c r="C24" s="7" t="s">
        <v>100</v>
      </c>
      <c r="D24" s="49">
        <v>879.66</v>
      </c>
      <c r="E24" s="104">
        <v>2.7</v>
      </c>
      <c r="F24" s="58">
        <v>2</v>
      </c>
      <c r="G24" s="87"/>
    </row>
    <row r="25" spans="2:7">
      <c r="B25" s="381"/>
      <c r="C25" s="7" t="s">
        <v>101</v>
      </c>
      <c r="D25" s="49">
        <v>4181.5200000000004</v>
      </c>
      <c r="E25" s="104">
        <v>4.2</v>
      </c>
      <c r="F25" s="58">
        <v>6</v>
      </c>
      <c r="G25" s="87"/>
    </row>
    <row r="26" spans="2:7">
      <c r="B26" s="381"/>
      <c r="C26" s="7" t="s">
        <v>102</v>
      </c>
      <c r="D26" s="49">
        <v>10.8</v>
      </c>
      <c r="E26" s="104">
        <v>2.7</v>
      </c>
      <c r="F26" s="58">
        <v>1</v>
      </c>
      <c r="G26" s="87"/>
    </row>
    <row r="27" spans="2:7">
      <c r="B27" s="381"/>
      <c r="C27" s="7" t="s">
        <v>103</v>
      </c>
      <c r="D27" s="49">
        <v>10.8</v>
      </c>
      <c r="E27" s="104">
        <v>2.7</v>
      </c>
      <c r="F27" s="58">
        <v>1</v>
      </c>
      <c r="G27" s="87"/>
    </row>
    <row r="28" spans="2:7">
      <c r="B28" s="381"/>
      <c r="C28" s="7" t="s">
        <v>104</v>
      </c>
      <c r="D28" s="49">
        <v>16.8</v>
      </c>
      <c r="E28" s="104">
        <v>4.2</v>
      </c>
      <c r="F28" s="58">
        <v>1</v>
      </c>
      <c r="G28" s="87"/>
    </row>
    <row r="29" spans="2:7">
      <c r="B29" s="381"/>
      <c r="C29" s="7" t="s">
        <v>105</v>
      </c>
      <c r="D29" s="49">
        <v>2603.62</v>
      </c>
      <c r="E29" s="104">
        <v>3.75</v>
      </c>
      <c r="F29" s="58">
        <v>6</v>
      </c>
      <c r="G29" s="87"/>
    </row>
    <row r="30" spans="2:7">
      <c r="B30" s="381"/>
      <c r="C30" s="7" t="s">
        <v>106</v>
      </c>
      <c r="D30" s="49">
        <v>0</v>
      </c>
      <c r="E30" s="104">
        <v>3.75</v>
      </c>
      <c r="F30" s="58">
        <v>0</v>
      </c>
      <c r="G30" s="87"/>
    </row>
    <row r="31" spans="2:7">
      <c r="B31" s="381"/>
      <c r="C31" s="7" t="s">
        <v>107</v>
      </c>
      <c r="D31" s="49">
        <v>385.37</v>
      </c>
      <c r="E31" s="104">
        <v>2.7</v>
      </c>
      <c r="F31" s="58">
        <v>2</v>
      </c>
      <c r="G31" s="87"/>
    </row>
    <row r="32" spans="2:7">
      <c r="B32" s="381"/>
      <c r="C32" s="7" t="s">
        <v>108</v>
      </c>
      <c r="D32" s="49">
        <v>157.94999999999999</v>
      </c>
      <c r="E32" s="104">
        <v>2.7</v>
      </c>
      <c r="F32" s="58">
        <v>1</v>
      </c>
      <c r="G32" s="87"/>
    </row>
    <row r="33" spans="2:7">
      <c r="B33" s="381"/>
      <c r="C33" s="7" t="s">
        <v>109</v>
      </c>
      <c r="D33" s="49">
        <v>2104.1999999999998</v>
      </c>
      <c r="E33" s="104">
        <v>4.2</v>
      </c>
      <c r="F33" s="58">
        <v>4</v>
      </c>
      <c r="G33" s="87"/>
    </row>
    <row r="34" spans="2:7">
      <c r="B34" s="381"/>
      <c r="C34" s="7" t="s">
        <v>110</v>
      </c>
      <c r="D34" s="49">
        <v>0</v>
      </c>
      <c r="E34" s="104">
        <v>2.7</v>
      </c>
      <c r="F34" s="58">
        <v>0</v>
      </c>
      <c r="G34" s="87"/>
    </row>
    <row r="35" spans="2:7">
      <c r="B35" s="381"/>
      <c r="C35" s="7" t="s">
        <v>111</v>
      </c>
      <c r="D35" s="49">
        <v>137.25</v>
      </c>
      <c r="E35" s="104">
        <v>3.75</v>
      </c>
      <c r="F35" s="58">
        <v>1</v>
      </c>
      <c r="G35" s="87"/>
    </row>
    <row r="36" spans="2:7" ht="24">
      <c r="B36" s="381"/>
      <c r="C36" s="7" t="s">
        <v>112</v>
      </c>
      <c r="D36" s="49">
        <v>705.56</v>
      </c>
      <c r="E36" s="104">
        <v>3.75</v>
      </c>
      <c r="F36" s="58">
        <v>5</v>
      </c>
      <c r="G36" s="112" t="s">
        <v>87</v>
      </c>
    </row>
    <row r="37" spans="2:7">
      <c r="B37" s="381"/>
      <c r="C37" s="7" t="s">
        <v>112</v>
      </c>
      <c r="D37" s="49">
        <v>159.37</v>
      </c>
      <c r="E37" s="104">
        <v>12.5</v>
      </c>
      <c r="F37" s="58">
        <v>1</v>
      </c>
      <c r="G37" s="87"/>
    </row>
    <row r="38" spans="2:7" ht="28.8">
      <c r="B38" s="381"/>
      <c r="C38" s="7" t="s">
        <v>113</v>
      </c>
      <c r="D38" s="49">
        <v>0</v>
      </c>
      <c r="E38" s="104">
        <v>2.7</v>
      </c>
      <c r="F38" s="58">
        <v>0</v>
      </c>
      <c r="G38" s="87"/>
    </row>
    <row r="39" spans="2:7" ht="24">
      <c r="B39" s="381"/>
      <c r="C39" s="7" t="s">
        <v>114</v>
      </c>
      <c r="D39" s="49">
        <v>3680.44</v>
      </c>
      <c r="E39" s="104">
        <v>3.75</v>
      </c>
      <c r="F39" s="58">
        <v>9</v>
      </c>
      <c r="G39" s="112" t="s">
        <v>87</v>
      </c>
    </row>
    <row r="40" spans="2:7">
      <c r="B40" s="381"/>
      <c r="C40" s="7" t="s">
        <v>115</v>
      </c>
      <c r="D40" s="49">
        <v>9871.26</v>
      </c>
      <c r="E40" s="104">
        <v>4.2</v>
      </c>
      <c r="F40" s="58">
        <v>19</v>
      </c>
      <c r="G40" s="87"/>
    </row>
    <row r="41" spans="2:7">
      <c r="B41" s="381"/>
      <c r="C41" s="7" t="s">
        <v>116</v>
      </c>
      <c r="D41" s="49">
        <v>0</v>
      </c>
      <c r="E41" s="104">
        <v>2.7</v>
      </c>
      <c r="F41" s="58">
        <v>0</v>
      </c>
      <c r="G41" s="87"/>
    </row>
    <row r="42" spans="2:7">
      <c r="B42" s="381"/>
      <c r="C42" s="7" t="s">
        <v>117</v>
      </c>
      <c r="D42" s="49">
        <v>1823.53</v>
      </c>
      <c r="E42" s="104">
        <v>3.75</v>
      </c>
      <c r="F42" s="58">
        <v>8</v>
      </c>
      <c r="G42" s="87"/>
    </row>
    <row r="43" spans="2:7">
      <c r="B43" s="381"/>
      <c r="C43" s="7" t="s">
        <v>118</v>
      </c>
      <c r="D43" s="49">
        <v>28.35</v>
      </c>
      <c r="E43" s="104">
        <v>2.7</v>
      </c>
      <c r="F43" s="58">
        <v>1</v>
      </c>
      <c r="G43" s="87"/>
    </row>
    <row r="44" spans="2:7">
      <c r="B44" s="381"/>
      <c r="C44" s="7" t="s">
        <v>119</v>
      </c>
      <c r="D44" s="49">
        <v>4224.2</v>
      </c>
      <c r="E44" s="104">
        <v>3.75</v>
      </c>
      <c r="F44" s="58">
        <v>12</v>
      </c>
      <c r="G44" s="87"/>
    </row>
    <row r="45" spans="2:7">
      <c r="B45" s="381"/>
      <c r="C45" s="7" t="s">
        <v>120</v>
      </c>
      <c r="D45" s="49">
        <v>0</v>
      </c>
      <c r="E45" s="104">
        <v>2.7</v>
      </c>
      <c r="F45" s="58">
        <v>0</v>
      </c>
      <c r="G45" s="87"/>
    </row>
    <row r="46" spans="2:7" ht="28.8">
      <c r="B46" s="381"/>
      <c r="C46" s="7" t="s">
        <v>121</v>
      </c>
      <c r="D46" s="49">
        <v>4608</v>
      </c>
      <c r="E46" s="104">
        <v>3.75</v>
      </c>
      <c r="F46" s="58">
        <v>3</v>
      </c>
      <c r="G46" s="87"/>
    </row>
    <row r="47" spans="2:7" ht="28.8">
      <c r="B47" s="381"/>
      <c r="C47" s="7" t="s">
        <v>122</v>
      </c>
      <c r="D47" s="49">
        <v>10022.040000000001</v>
      </c>
      <c r="E47" s="104">
        <v>4.2</v>
      </c>
      <c r="F47" s="58">
        <v>12</v>
      </c>
      <c r="G47" s="112" t="s">
        <v>87</v>
      </c>
    </row>
    <row r="48" spans="2:7" ht="28.8">
      <c r="B48" s="381"/>
      <c r="C48" s="7" t="s">
        <v>123</v>
      </c>
      <c r="D48" s="49">
        <v>7231.56</v>
      </c>
      <c r="E48" s="104">
        <v>4.2</v>
      </c>
      <c r="F48" s="58">
        <v>14</v>
      </c>
      <c r="G48" s="87"/>
    </row>
    <row r="49" spans="2:10" ht="28.8">
      <c r="B49" s="381"/>
      <c r="C49" s="7" t="s">
        <v>124</v>
      </c>
      <c r="D49" s="49">
        <v>3943.8</v>
      </c>
      <c r="E49" s="104">
        <v>4.2</v>
      </c>
      <c r="F49" s="58">
        <v>11</v>
      </c>
      <c r="G49" s="87"/>
    </row>
    <row r="50" spans="2:10" ht="28.8">
      <c r="B50" s="381"/>
      <c r="C50" s="7" t="s">
        <v>125</v>
      </c>
      <c r="D50" s="49">
        <v>3219.74</v>
      </c>
      <c r="E50" s="104">
        <v>3.75</v>
      </c>
      <c r="F50" s="58">
        <v>14</v>
      </c>
      <c r="G50" s="112" t="s">
        <v>87</v>
      </c>
    </row>
    <row r="51" spans="2:10" ht="32.4" customHeight="1">
      <c r="B51" s="381"/>
      <c r="C51" s="7" t="s">
        <v>126</v>
      </c>
      <c r="D51" s="49">
        <v>0</v>
      </c>
      <c r="E51" s="104">
        <v>3.75</v>
      </c>
      <c r="F51" s="58">
        <v>0</v>
      </c>
      <c r="G51" s="87"/>
    </row>
    <row r="52" spans="2:10">
      <c r="B52" s="381"/>
      <c r="C52" s="7" t="s">
        <v>127</v>
      </c>
      <c r="D52" s="49">
        <v>265.11</v>
      </c>
      <c r="E52" s="104">
        <v>2.7</v>
      </c>
      <c r="F52" s="58">
        <v>4</v>
      </c>
      <c r="G52" s="87"/>
    </row>
    <row r="53" spans="2:10">
      <c r="B53" s="381"/>
      <c r="C53" s="7" t="s">
        <v>127</v>
      </c>
      <c r="D53" s="49">
        <v>133.65</v>
      </c>
      <c r="E53" s="104">
        <v>9</v>
      </c>
      <c r="F53" s="58">
        <v>1</v>
      </c>
      <c r="G53" s="87"/>
    </row>
    <row r="54" spans="2:10">
      <c r="B54" s="381"/>
      <c r="C54" s="7" t="s">
        <v>128</v>
      </c>
      <c r="D54" s="49">
        <v>928.53</v>
      </c>
      <c r="E54" s="104">
        <v>2.7</v>
      </c>
      <c r="F54" s="58">
        <v>7</v>
      </c>
      <c r="G54" s="87"/>
    </row>
    <row r="55" spans="2:10">
      <c r="B55" s="381"/>
      <c r="C55" s="7" t="s">
        <v>129</v>
      </c>
      <c r="D55" s="49">
        <v>282.95999999999998</v>
      </c>
      <c r="E55" s="104">
        <v>2.7</v>
      </c>
      <c r="F55" s="58">
        <v>2</v>
      </c>
      <c r="G55" s="87"/>
    </row>
    <row r="56" spans="2:10">
      <c r="B56" s="381"/>
      <c r="C56" s="7" t="s">
        <v>129</v>
      </c>
      <c r="D56" s="49">
        <v>295.64999999999998</v>
      </c>
      <c r="E56" s="104">
        <v>9</v>
      </c>
      <c r="F56" s="58">
        <v>2</v>
      </c>
      <c r="G56" s="87"/>
    </row>
    <row r="57" spans="2:10">
      <c r="B57" s="381"/>
      <c r="C57" s="7" t="s">
        <v>130</v>
      </c>
      <c r="D57" s="49">
        <v>766.69</v>
      </c>
      <c r="E57" s="104">
        <v>3.75</v>
      </c>
      <c r="F57" s="58">
        <v>6</v>
      </c>
      <c r="G57" s="88"/>
    </row>
    <row r="58" spans="2:10">
      <c r="B58" s="382"/>
      <c r="C58" s="7" t="s">
        <v>131</v>
      </c>
      <c r="D58" s="49">
        <v>452.45</v>
      </c>
      <c r="E58" s="104">
        <v>3.75</v>
      </c>
      <c r="F58" s="58">
        <v>5</v>
      </c>
      <c r="G58" s="89"/>
    </row>
    <row r="59" spans="2:10">
      <c r="B59" s="90" t="s">
        <v>33</v>
      </c>
      <c r="C59" s="7"/>
      <c r="D59" s="105">
        <f>SUM(D8:D58)</f>
        <v>99316.140000000029</v>
      </c>
      <c r="E59" s="105">
        <f>SUM(E8:E58)</f>
        <v>201.84999999999994</v>
      </c>
      <c r="F59" s="110">
        <f>SUM(F8:F58)</f>
        <v>236</v>
      </c>
      <c r="G59" s="89"/>
    </row>
    <row r="60" spans="2:10">
      <c r="B60" s="344"/>
      <c r="C60" s="7" t="s">
        <v>132</v>
      </c>
      <c r="D60" s="49">
        <v>0</v>
      </c>
      <c r="E60" s="104">
        <v>0</v>
      </c>
      <c r="F60" s="58">
        <v>1</v>
      </c>
      <c r="G60" s="89"/>
    </row>
    <row r="61" spans="2:10">
      <c r="B61" s="345"/>
      <c r="C61" s="7" t="s">
        <v>133</v>
      </c>
      <c r="D61" s="49">
        <v>99</v>
      </c>
      <c r="E61" s="104">
        <v>4.125</v>
      </c>
      <c r="F61" s="58">
        <v>1</v>
      </c>
      <c r="G61" s="89"/>
      <c r="H61" s="91"/>
      <c r="I61" s="91"/>
      <c r="J61" s="91"/>
    </row>
    <row r="62" spans="2:10">
      <c r="B62" s="345"/>
      <c r="C62" s="7" t="s">
        <v>134</v>
      </c>
      <c r="D62" s="49">
        <v>37</v>
      </c>
      <c r="E62" s="104">
        <v>9.25</v>
      </c>
      <c r="F62" s="58">
        <v>1</v>
      </c>
      <c r="G62" s="89"/>
      <c r="H62" s="91"/>
      <c r="I62" s="91"/>
      <c r="J62" s="91"/>
    </row>
    <row r="63" spans="2:10">
      <c r="B63" s="346"/>
      <c r="C63" s="7" t="s">
        <v>135</v>
      </c>
      <c r="D63" s="49">
        <v>35</v>
      </c>
      <c r="E63" s="104">
        <v>9.25</v>
      </c>
      <c r="F63" s="58">
        <v>1</v>
      </c>
      <c r="G63" s="89"/>
      <c r="H63" s="91"/>
      <c r="I63" s="91"/>
      <c r="J63" s="91"/>
    </row>
    <row r="64" spans="2:10">
      <c r="B64" s="92" t="s">
        <v>33</v>
      </c>
      <c r="C64" s="92"/>
      <c r="D64" s="105">
        <f>SUM(D60:D63)</f>
        <v>171</v>
      </c>
      <c r="E64" s="105">
        <f>SUM(E60:E63)</f>
        <v>22.625</v>
      </c>
      <c r="F64" s="110">
        <f>SUM(F60:F63)</f>
        <v>4</v>
      </c>
      <c r="G64" s="89"/>
      <c r="H64" s="91"/>
      <c r="I64" s="91"/>
      <c r="J64" s="91"/>
    </row>
    <row r="65" spans="2:9" ht="31.5" customHeight="1">
      <c r="B65" s="383" t="s">
        <v>61</v>
      </c>
      <c r="C65" s="384"/>
      <c r="D65" s="384"/>
      <c r="E65" s="384"/>
      <c r="F65" s="384"/>
      <c r="G65" s="385"/>
    </row>
    <row r="66" spans="2:9" ht="53.25" customHeight="1">
      <c r="B66" s="86" t="s">
        <v>4</v>
      </c>
      <c r="C66" s="86" t="s">
        <v>62</v>
      </c>
      <c r="D66" s="86" t="s">
        <v>6</v>
      </c>
      <c r="E66" s="86" t="s">
        <v>63</v>
      </c>
      <c r="F66" s="86" t="s">
        <v>8</v>
      </c>
      <c r="G66" s="87" t="s">
        <v>64</v>
      </c>
    </row>
    <row r="67" spans="2:9" ht="28.8">
      <c r="B67" s="18" t="s">
        <v>65</v>
      </c>
      <c r="C67" s="93"/>
      <c r="D67" s="49">
        <v>0</v>
      </c>
      <c r="E67" s="49">
        <v>0</v>
      </c>
      <c r="F67" s="94">
        <v>0</v>
      </c>
      <c r="G67" s="95"/>
    </row>
    <row r="68" spans="2:9" ht="15.6">
      <c r="B68" s="96" t="s">
        <v>33</v>
      </c>
      <c r="C68" s="97"/>
      <c r="D68" s="106">
        <f>SUM(D67)</f>
        <v>0</v>
      </c>
      <c r="E68" s="106">
        <f>SUM(E67)</f>
        <v>0</v>
      </c>
      <c r="F68" s="113">
        <f>SUM(F67)</f>
        <v>0</v>
      </c>
      <c r="G68" s="95"/>
    </row>
    <row r="69" spans="2:9">
      <c r="B69" s="18" t="s">
        <v>136</v>
      </c>
      <c r="C69" s="93"/>
      <c r="D69" s="49">
        <v>2127.64</v>
      </c>
      <c r="E69" s="49">
        <v>2127.64</v>
      </c>
      <c r="F69" s="94">
        <v>51</v>
      </c>
      <c r="G69" s="95" t="s">
        <v>137</v>
      </c>
    </row>
    <row r="70" spans="2:9" ht="15.6">
      <c r="B70" s="96" t="s">
        <v>33</v>
      </c>
      <c r="C70" s="97"/>
      <c r="D70" s="106">
        <f>SUM(D69)</f>
        <v>2127.64</v>
      </c>
      <c r="E70" s="106">
        <f>SUM(E69)</f>
        <v>2127.64</v>
      </c>
      <c r="F70" s="113">
        <f>SUM(F69)</f>
        <v>51</v>
      </c>
      <c r="G70" s="95"/>
    </row>
    <row r="71" spans="2:9">
      <c r="B71" s="18" t="s">
        <v>70</v>
      </c>
      <c r="C71" s="93"/>
      <c r="D71" s="49">
        <v>0</v>
      </c>
      <c r="E71" s="49">
        <v>0</v>
      </c>
      <c r="F71" s="111">
        <v>0</v>
      </c>
      <c r="G71" s="95"/>
    </row>
    <row r="72" spans="2:9" ht="15.6">
      <c r="B72" s="96" t="s">
        <v>33</v>
      </c>
      <c r="C72" s="97"/>
      <c r="D72" s="106">
        <f>SUM(D71)</f>
        <v>0</v>
      </c>
      <c r="E72" s="106">
        <f>SUM(E71)</f>
        <v>0</v>
      </c>
      <c r="F72" s="113">
        <f>SUM(F71)</f>
        <v>0</v>
      </c>
      <c r="G72" s="95"/>
    </row>
    <row r="73" spans="2:9" ht="46.8">
      <c r="B73" s="18" t="s">
        <v>73</v>
      </c>
      <c r="C73" s="98" t="s">
        <v>138</v>
      </c>
      <c r="D73" s="107">
        <v>0</v>
      </c>
      <c r="E73" s="108">
        <v>12440.44</v>
      </c>
      <c r="F73" s="99">
        <v>1</v>
      </c>
      <c r="G73" s="18"/>
      <c r="I73" s="100"/>
    </row>
    <row r="74" spans="2:9" ht="43.2">
      <c r="B74" s="18"/>
      <c r="C74" s="98" t="s">
        <v>139</v>
      </c>
      <c r="D74" s="107">
        <v>0</v>
      </c>
      <c r="E74" s="108">
        <v>14190</v>
      </c>
      <c r="F74" s="99">
        <v>1</v>
      </c>
      <c r="G74" s="18" t="s">
        <v>140</v>
      </c>
      <c r="I74" s="100"/>
    </row>
    <row r="75" spans="2:9" ht="31.2">
      <c r="B75" s="18"/>
      <c r="C75" s="98" t="s">
        <v>141</v>
      </c>
      <c r="D75" s="107">
        <v>0</v>
      </c>
      <c r="E75" s="108">
        <v>15552</v>
      </c>
      <c r="F75" s="99">
        <v>1</v>
      </c>
      <c r="G75" s="95"/>
      <c r="I75" s="100"/>
    </row>
    <row r="76" spans="2:9" ht="46.8">
      <c r="B76" s="18"/>
      <c r="C76" s="98" t="s">
        <v>142</v>
      </c>
      <c r="D76" s="107">
        <v>0</v>
      </c>
      <c r="E76" s="108">
        <f>1738.5</f>
        <v>1738.5</v>
      </c>
      <c r="F76" s="99">
        <v>1</v>
      </c>
      <c r="G76" s="18" t="s">
        <v>140</v>
      </c>
      <c r="I76" s="100"/>
    </row>
    <row r="77" spans="2:9" ht="15.6">
      <c r="B77" s="96" t="s">
        <v>33</v>
      </c>
      <c r="C77" s="97"/>
      <c r="D77" s="106">
        <f>SUM(D73:D76)</f>
        <v>0</v>
      </c>
      <c r="E77" s="106">
        <f>SUM(E73:E76)</f>
        <v>43920.94</v>
      </c>
      <c r="F77" s="113">
        <f>SUM(F73:F76)</f>
        <v>4</v>
      </c>
      <c r="G77" s="95"/>
    </row>
    <row r="78" spans="2:9">
      <c r="B78" s="18" t="s">
        <v>74</v>
      </c>
      <c r="C78" s="101"/>
      <c r="D78" s="49">
        <v>0</v>
      </c>
      <c r="E78" s="49">
        <v>0</v>
      </c>
      <c r="F78" s="94">
        <v>0</v>
      </c>
      <c r="G78" s="95"/>
    </row>
    <row r="79" spans="2:9" ht="15.6">
      <c r="B79" s="96" t="s">
        <v>33</v>
      </c>
      <c r="C79" s="97"/>
      <c r="D79" s="106">
        <f>SUM(D78)</f>
        <v>0</v>
      </c>
      <c r="E79" s="106">
        <f>SUM(E78)</f>
        <v>0</v>
      </c>
      <c r="F79" s="113">
        <f>SUM(F78)</f>
        <v>0</v>
      </c>
      <c r="G79" s="95"/>
    </row>
    <row r="80" spans="2:9" ht="15.6">
      <c r="B80" s="370"/>
      <c r="C80" s="371"/>
      <c r="D80" s="371"/>
      <c r="E80" s="371"/>
      <c r="F80" s="371"/>
      <c r="G80" s="372"/>
    </row>
    <row r="81" spans="2:7" ht="30">
      <c r="B81" s="96" t="s">
        <v>143</v>
      </c>
      <c r="C81" s="97"/>
      <c r="D81" s="109">
        <f>D79+D77+D72+D70+D68+D64+D59</f>
        <v>101614.78000000003</v>
      </c>
      <c r="E81" s="109">
        <f>E79+E77+E72+E70+E68+E64+E59</f>
        <v>46273.055</v>
      </c>
      <c r="F81" s="114">
        <f>F79+F77+F72+F70+F68+F64+F59</f>
        <v>295</v>
      </c>
      <c r="G81" s="95"/>
    </row>
    <row r="82" spans="2:7" ht="15.6">
      <c r="B82" s="115"/>
      <c r="C82" s="116"/>
      <c r="D82" s="117"/>
      <c r="E82" s="117"/>
      <c r="F82" s="118"/>
    </row>
    <row r="83" spans="2:7">
      <c r="B83" s="102" t="s">
        <v>219</v>
      </c>
    </row>
    <row r="84" spans="2:7">
      <c r="B84" s="102"/>
    </row>
    <row r="85" spans="2:7" s="119" customFormat="1">
      <c r="B85" s="119" t="s">
        <v>144</v>
      </c>
    </row>
    <row r="86" spans="2:7" s="119" customFormat="1">
      <c r="B86" s="119" t="s">
        <v>145</v>
      </c>
    </row>
    <row r="87" spans="2:7" s="119" customFormat="1">
      <c r="B87" s="119" t="s">
        <v>146</v>
      </c>
    </row>
    <row r="88" spans="2:7">
      <c r="B88" s="103"/>
    </row>
    <row r="89" spans="2:7">
      <c r="B89" s="17" t="s">
        <v>76</v>
      </c>
    </row>
    <row r="90" spans="2:7">
      <c r="B90" s="373"/>
      <c r="C90" s="373"/>
      <c r="D90" s="373"/>
    </row>
    <row r="91" spans="2:7">
      <c r="B91" t="s">
        <v>79</v>
      </c>
      <c r="C91"/>
    </row>
    <row r="92" spans="2:7" ht="15.75" customHeight="1"/>
  </sheetData>
  <mergeCells count="8">
    <mergeCell ref="B80:G80"/>
    <mergeCell ref="B90:D90"/>
    <mergeCell ref="B4:G4"/>
    <mergeCell ref="B5:G5"/>
    <mergeCell ref="B6:G6"/>
    <mergeCell ref="B8:B58"/>
    <mergeCell ref="B60:B63"/>
    <mergeCell ref="B65:G6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9DDE-E003-4287-9C85-245103004FC0}">
  <dimension ref="A1:I134"/>
  <sheetViews>
    <sheetView topLeftCell="A116" workbookViewId="0">
      <selection activeCell="B131" sqref="B131:C131"/>
    </sheetView>
  </sheetViews>
  <sheetFormatPr defaultColWidth="9.109375" defaultRowHeight="14.4"/>
  <cols>
    <col min="1" max="1" width="3.44140625" customWidth="1"/>
    <col min="2" max="2" width="45.109375" customWidth="1"/>
    <col min="3" max="3" width="31.109375" customWidth="1"/>
    <col min="4" max="4" width="16.6640625" customWidth="1"/>
    <col min="5" max="5" width="24.88671875" customWidth="1"/>
    <col min="6" max="6" width="15.33203125" customWidth="1"/>
    <col min="7" max="7" width="34.44140625" customWidth="1"/>
  </cols>
  <sheetData>
    <row r="1" spans="2:8" ht="30" customHeight="1">
      <c r="B1" s="1" t="s">
        <v>0</v>
      </c>
    </row>
    <row r="2" spans="2:8" ht="25.5" customHeight="1">
      <c r="B2" s="1" t="s">
        <v>1</v>
      </c>
      <c r="D2" s="2"/>
      <c r="E2" s="2"/>
    </row>
    <row r="3" spans="2:8" ht="12.75" customHeight="1">
      <c r="B3" s="1"/>
      <c r="D3" s="2"/>
      <c r="E3" s="2"/>
    </row>
    <row r="4" spans="2:8" ht="32.25" customHeight="1">
      <c r="B4" s="363" t="s">
        <v>81</v>
      </c>
      <c r="C4" s="363"/>
      <c r="D4" s="363"/>
      <c r="E4" s="363"/>
      <c r="F4" s="363"/>
      <c r="G4" s="363"/>
    </row>
    <row r="5" spans="2:8" ht="31.5" customHeight="1">
      <c r="B5" s="363" t="s">
        <v>147</v>
      </c>
      <c r="C5" s="363"/>
      <c r="D5" s="363"/>
      <c r="E5" s="363"/>
      <c r="F5" s="363"/>
      <c r="G5" s="363"/>
    </row>
    <row r="6" spans="2:8" ht="26.25" customHeight="1">
      <c r="B6" s="364" t="s">
        <v>3</v>
      </c>
      <c r="C6" s="364"/>
      <c r="D6" s="364"/>
      <c r="E6" s="364"/>
      <c r="F6" s="364"/>
      <c r="G6" s="364"/>
    </row>
    <row r="7" spans="2:8" ht="55.5" customHeight="1">
      <c r="B7" s="3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5" t="s">
        <v>9</v>
      </c>
    </row>
    <row r="8" spans="2:8" ht="55.5" customHeight="1">
      <c r="B8" s="344" t="s">
        <v>83</v>
      </c>
      <c r="C8" s="10" t="s">
        <v>148</v>
      </c>
      <c r="D8" s="120">
        <v>1565.83</v>
      </c>
      <c r="E8" s="120">
        <v>4.25</v>
      </c>
      <c r="F8" s="10">
        <v>5</v>
      </c>
      <c r="G8" s="121" t="s">
        <v>149</v>
      </c>
      <c r="H8" s="14"/>
    </row>
    <row r="9" spans="2:8" ht="55.5" customHeight="1">
      <c r="B9" s="345"/>
      <c r="C9" s="10" t="s">
        <v>148</v>
      </c>
      <c r="D9" s="120">
        <v>665.56</v>
      </c>
      <c r="E9" s="120">
        <v>4.5</v>
      </c>
      <c r="F9" s="10">
        <v>5</v>
      </c>
      <c r="G9" s="121" t="s">
        <v>150</v>
      </c>
      <c r="H9" s="14"/>
    </row>
    <row r="10" spans="2:8" ht="55.5" customHeight="1">
      <c r="B10" s="345"/>
      <c r="C10" s="10" t="s">
        <v>151</v>
      </c>
      <c r="D10" s="120">
        <v>641.20000000000005</v>
      </c>
      <c r="E10" s="120">
        <v>3</v>
      </c>
      <c r="F10" s="10">
        <v>7</v>
      </c>
      <c r="G10" s="121" t="s">
        <v>149</v>
      </c>
      <c r="H10" s="14"/>
    </row>
    <row r="11" spans="2:8" ht="55.5" customHeight="1">
      <c r="B11" s="345"/>
      <c r="C11" s="10" t="s">
        <v>151</v>
      </c>
      <c r="D11" s="120">
        <v>565.11</v>
      </c>
      <c r="E11" s="120">
        <v>2.7</v>
      </c>
      <c r="F11" s="10">
        <v>8</v>
      </c>
      <c r="G11" s="121" t="s">
        <v>150</v>
      </c>
      <c r="H11" s="14"/>
    </row>
    <row r="12" spans="2:8" ht="55.5" customHeight="1">
      <c r="B12" s="345"/>
      <c r="C12" s="10" t="s">
        <v>152</v>
      </c>
      <c r="D12" s="120">
        <v>762</v>
      </c>
      <c r="E12" s="120" t="s">
        <v>153</v>
      </c>
      <c r="F12" s="10">
        <v>4</v>
      </c>
      <c r="G12" s="121" t="s">
        <v>149</v>
      </c>
      <c r="H12" s="14"/>
    </row>
    <row r="13" spans="2:8" ht="55.5" customHeight="1">
      <c r="B13" s="345"/>
      <c r="C13" s="10" t="s">
        <v>152</v>
      </c>
      <c r="D13" s="120">
        <v>0</v>
      </c>
      <c r="E13" s="120">
        <v>9</v>
      </c>
      <c r="F13" s="10">
        <v>0</v>
      </c>
      <c r="G13" s="121" t="s">
        <v>150</v>
      </c>
      <c r="H13" s="14"/>
    </row>
    <row r="14" spans="2:8" ht="55.5" customHeight="1">
      <c r="B14" s="345"/>
      <c r="C14" s="10" t="s">
        <v>154</v>
      </c>
      <c r="D14" s="120">
        <v>667.35</v>
      </c>
      <c r="E14" s="120">
        <v>3</v>
      </c>
      <c r="F14" s="10">
        <v>6</v>
      </c>
      <c r="G14" s="121" t="s">
        <v>149</v>
      </c>
      <c r="H14" s="14"/>
    </row>
    <row r="15" spans="2:8" ht="55.5" customHeight="1">
      <c r="B15" s="345"/>
      <c r="C15" s="10" t="s">
        <v>154</v>
      </c>
      <c r="D15" s="120">
        <v>479.12</v>
      </c>
      <c r="E15" s="120">
        <v>2.7</v>
      </c>
      <c r="F15" s="10">
        <v>5</v>
      </c>
      <c r="G15" s="121" t="s">
        <v>150</v>
      </c>
      <c r="H15" s="14"/>
    </row>
    <row r="16" spans="2:8" ht="55.5" customHeight="1">
      <c r="B16" s="345"/>
      <c r="C16" s="10" t="s">
        <v>155</v>
      </c>
      <c r="D16" s="120">
        <v>0</v>
      </c>
      <c r="E16" s="120" t="s">
        <v>156</v>
      </c>
      <c r="F16" s="10">
        <v>0</v>
      </c>
      <c r="G16" s="121" t="s">
        <v>149</v>
      </c>
      <c r="H16" s="14"/>
    </row>
    <row r="17" spans="2:8" ht="55.5" customHeight="1">
      <c r="B17" s="345"/>
      <c r="C17" s="10" t="s">
        <v>155</v>
      </c>
      <c r="D17" s="120">
        <v>388.8</v>
      </c>
      <c r="E17" s="120">
        <v>4.5</v>
      </c>
      <c r="F17" s="10">
        <v>4</v>
      </c>
      <c r="G17" s="121" t="s">
        <v>150</v>
      </c>
      <c r="H17" s="14"/>
    </row>
    <row r="18" spans="2:8" ht="55.5" customHeight="1">
      <c r="B18" s="345"/>
      <c r="C18" s="10" t="s">
        <v>157</v>
      </c>
      <c r="D18" s="120">
        <v>4400.6400000000003</v>
      </c>
      <c r="E18" s="120">
        <v>4.75</v>
      </c>
      <c r="F18" s="10">
        <v>2</v>
      </c>
      <c r="G18" s="121" t="s">
        <v>149</v>
      </c>
      <c r="H18" s="14"/>
    </row>
    <row r="19" spans="2:8" ht="55.5" customHeight="1">
      <c r="B19" s="345"/>
      <c r="C19" s="10" t="s">
        <v>157</v>
      </c>
      <c r="D19" s="120">
        <v>3015</v>
      </c>
      <c r="E19" s="120">
        <v>6</v>
      </c>
      <c r="F19" s="10">
        <v>5</v>
      </c>
      <c r="G19" s="121" t="s">
        <v>150</v>
      </c>
      <c r="H19" s="14"/>
    </row>
    <row r="20" spans="2:8" ht="55.5" customHeight="1">
      <c r="B20" s="345"/>
      <c r="C20" s="10" t="s">
        <v>158</v>
      </c>
      <c r="D20" s="120">
        <v>609.38</v>
      </c>
      <c r="E20" s="120">
        <v>3</v>
      </c>
      <c r="F20" s="10">
        <v>3</v>
      </c>
      <c r="G20" s="121" t="s">
        <v>149</v>
      </c>
      <c r="H20" s="14"/>
    </row>
    <row r="21" spans="2:8" ht="55.5" customHeight="1">
      <c r="B21" s="345"/>
      <c r="C21" s="10" t="s">
        <v>158</v>
      </c>
      <c r="D21" s="120">
        <v>380.3</v>
      </c>
      <c r="E21" s="120">
        <v>2.7</v>
      </c>
      <c r="F21" s="10">
        <v>2</v>
      </c>
      <c r="G21" s="121" t="s">
        <v>150</v>
      </c>
      <c r="H21" s="14"/>
    </row>
    <row r="22" spans="2:8" ht="55.5" customHeight="1">
      <c r="B22" s="345"/>
      <c r="C22" s="10" t="s">
        <v>159</v>
      </c>
      <c r="D22" s="120">
        <v>58.13</v>
      </c>
      <c r="E22" s="120" t="s">
        <v>160</v>
      </c>
      <c r="F22" s="10">
        <v>1</v>
      </c>
      <c r="G22" s="121" t="s">
        <v>149</v>
      </c>
      <c r="H22" s="14"/>
    </row>
    <row r="23" spans="2:8" ht="55.5" customHeight="1">
      <c r="B23" s="345"/>
      <c r="C23" s="10" t="s">
        <v>159</v>
      </c>
      <c r="D23" s="120">
        <v>52.65</v>
      </c>
      <c r="E23" s="120">
        <v>2.7</v>
      </c>
      <c r="F23" s="10">
        <v>2</v>
      </c>
      <c r="G23" s="121" t="s">
        <v>150</v>
      </c>
      <c r="H23" s="14"/>
    </row>
    <row r="24" spans="2:8" ht="55.5" customHeight="1">
      <c r="B24" s="345"/>
      <c r="C24" s="10" t="s">
        <v>161</v>
      </c>
      <c r="D24" s="120">
        <v>1865.86</v>
      </c>
      <c r="E24" s="120" t="s">
        <v>162</v>
      </c>
      <c r="F24" s="10">
        <v>4</v>
      </c>
      <c r="G24" s="121" t="s">
        <v>149</v>
      </c>
      <c r="H24" s="14"/>
    </row>
    <row r="25" spans="2:8" ht="55.5" customHeight="1">
      <c r="B25" s="345"/>
      <c r="C25" s="10" t="s">
        <v>161</v>
      </c>
      <c r="D25" s="120">
        <v>1163.7</v>
      </c>
      <c r="E25" s="120">
        <v>4.5</v>
      </c>
      <c r="F25" s="10">
        <v>5</v>
      </c>
      <c r="G25" s="121" t="s">
        <v>150</v>
      </c>
      <c r="H25" s="14"/>
    </row>
    <row r="26" spans="2:8" ht="55.5" customHeight="1">
      <c r="B26" s="345"/>
      <c r="C26" s="10" t="s">
        <v>163</v>
      </c>
      <c r="D26" s="120">
        <v>0</v>
      </c>
      <c r="E26" s="120">
        <v>3</v>
      </c>
      <c r="F26" s="10">
        <v>0</v>
      </c>
      <c r="G26" s="121" t="s">
        <v>149</v>
      </c>
      <c r="H26" s="14"/>
    </row>
    <row r="27" spans="2:8" ht="55.5" customHeight="1">
      <c r="B27" s="345"/>
      <c r="C27" s="10" t="s">
        <v>163</v>
      </c>
      <c r="D27" s="120">
        <v>49.41</v>
      </c>
      <c r="E27" s="120">
        <v>2.7</v>
      </c>
      <c r="F27" s="10">
        <v>1</v>
      </c>
      <c r="G27" s="121" t="s">
        <v>150</v>
      </c>
      <c r="H27" s="14"/>
    </row>
    <row r="28" spans="2:8" ht="55.5" customHeight="1">
      <c r="B28" s="345"/>
      <c r="C28" s="10" t="s">
        <v>164</v>
      </c>
      <c r="D28" s="120">
        <v>387.81</v>
      </c>
      <c r="E28" s="120" t="s">
        <v>156</v>
      </c>
      <c r="F28" s="10">
        <v>2</v>
      </c>
      <c r="G28" s="121" t="s">
        <v>149</v>
      </c>
      <c r="H28" s="14"/>
    </row>
    <row r="29" spans="2:8" ht="55.5" customHeight="1">
      <c r="B29" s="345"/>
      <c r="C29" s="10" t="s">
        <v>164</v>
      </c>
      <c r="D29" s="120">
        <v>421.2</v>
      </c>
      <c r="E29" s="120">
        <v>4.5</v>
      </c>
      <c r="F29" s="10">
        <v>3</v>
      </c>
      <c r="G29" s="121" t="s">
        <v>150</v>
      </c>
      <c r="H29" s="14"/>
    </row>
    <row r="30" spans="2:8" ht="55.5" customHeight="1">
      <c r="B30" s="345"/>
      <c r="C30" s="10" t="s">
        <v>165</v>
      </c>
      <c r="D30" s="120">
        <v>324</v>
      </c>
      <c r="E30" s="120">
        <v>3</v>
      </c>
      <c r="F30" s="10">
        <v>1</v>
      </c>
      <c r="G30" s="121" t="s">
        <v>149</v>
      </c>
      <c r="H30" s="14"/>
    </row>
    <row r="31" spans="2:8" ht="55.5" customHeight="1">
      <c r="B31" s="345"/>
      <c r="C31" s="10" t="s">
        <v>165</v>
      </c>
      <c r="D31" s="120">
        <v>60.75</v>
      </c>
      <c r="E31" s="120">
        <v>2.7</v>
      </c>
      <c r="F31" s="10">
        <v>1</v>
      </c>
      <c r="G31" s="121" t="s">
        <v>150</v>
      </c>
      <c r="H31" s="14"/>
    </row>
    <row r="32" spans="2:8" ht="55.5" customHeight="1">
      <c r="B32" s="345"/>
      <c r="C32" s="122" t="s">
        <v>166</v>
      </c>
      <c r="D32" s="123">
        <v>0</v>
      </c>
      <c r="E32" s="123">
        <v>6</v>
      </c>
      <c r="F32" s="122">
        <v>0</v>
      </c>
      <c r="G32" s="121" t="s">
        <v>149</v>
      </c>
      <c r="H32" s="14"/>
    </row>
    <row r="33" spans="2:8" ht="55.5" customHeight="1">
      <c r="B33" s="345"/>
      <c r="C33" s="122" t="s">
        <v>166</v>
      </c>
      <c r="D33" s="123">
        <v>0</v>
      </c>
      <c r="E33" s="123">
        <v>9</v>
      </c>
      <c r="F33" s="122">
        <v>0</v>
      </c>
      <c r="G33" s="121" t="s">
        <v>150</v>
      </c>
      <c r="H33" s="14"/>
    </row>
    <row r="34" spans="2:8" ht="55.5" customHeight="1">
      <c r="B34" s="345"/>
      <c r="C34" s="10" t="s">
        <v>167</v>
      </c>
      <c r="D34" s="120">
        <v>2211.81</v>
      </c>
      <c r="E34" s="120" t="s">
        <v>168</v>
      </c>
      <c r="F34" s="10">
        <v>2</v>
      </c>
      <c r="G34" s="121" t="s">
        <v>149</v>
      </c>
      <c r="H34" s="14"/>
    </row>
    <row r="35" spans="2:8" ht="55.5" customHeight="1">
      <c r="B35" s="345"/>
      <c r="C35" s="10" t="s">
        <v>167</v>
      </c>
      <c r="D35" s="120">
        <v>1688.85</v>
      </c>
      <c r="E35" s="120">
        <v>4.5</v>
      </c>
      <c r="F35" s="10">
        <v>1</v>
      </c>
      <c r="G35" s="121" t="s">
        <v>150</v>
      </c>
      <c r="H35" s="14"/>
    </row>
    <row r="36" spans="2:8" ht="55.5" customHeight="1">
      <c r="B36" s="345"/>
      <c r="C36" s="10" t="s">
        <v>169</v>
      </c>
      <c r="D36" s="120">
        <v>1552.13</v>
      </c>
      <c r="E36" s="120" t="s">
        <v>160</v>
      </c>
      <c r="F36" s="10">
        <v>2</v>
      </c>
      <c r="G36" s="121" t="s">
        <v>149</v>
      </c>
      <c r="H36" s="14"/>
    </row>
    <row r="37" spans="2:8" ht="55.5" customHeight="1">
      <c r="B37" s="345"/>
      <c r="C37" s="10" t="s">
        <v>169</v>
      </c>
      <c r="D37" s="120">
        <v>946.49</v>
      </c>
      <c r="E37" s="120">
        <v>2.7</v>
      </c>
      <c r="F37" s="10">
        <v>2</v>
      </c>
      <c r="G37" s="121" t="s">
        <v>150</v>
      </c>
      <c r="H37" s="14"/>
    </row>
    <row r="38" spans="2:8" ht="55.5" customHeight="1">
      <c r="B38" s="345"/>
      <c r="C38" s="10" t="s">
        <v>170</v>
      </c>
      <c r="D38" s="120">
        <v>58.13</v>
      </c>
      <c r="E38" s="120" t="s">
        <v>160</v>
      </c>
      <c r="F38" s="10">
        <v>2</v>
      </c>
      <c r="G38" s="121" t="s">
        <v>149</v>
      </c>
      <c r="H38" s="14"/>
    </row>
    <row r="39" spans="2:8" ht="55.5" customHeight="1">
      <c r="B39" s="345"/>
      <c r="C39" s="10" t="s">
        <v>170</v>
      </c>
      <c r="D39" s="120">
        <v>61.56</v>
      </c>
      <c r="E39" s="120">
        <v>2.7</v>
      </c>
      <c r="F39" s="10">
        <v>2</v>
      </c>
      <c r="G39" s="121" t="s">
        <v>150</v>
      </c>
      <c r="H39" s="14"/>
    </row>
    <row r="40" spans="2:8" ht="55.5" customHeight="1">
      <c r="B40" s="345"/>
      <c r="C40" s="10" t="s">
        <v>170</v>
      </c>
      <c r="D40" s="120">
        <v>232.5</v>
      </c>
      <c r="E40" s="123">
        <v>6</v>
      </c>
      <c r="F40" s="10">
        <v>6</v>
      </c>
      <c r="G40" s="121" t="s">
        <v>149</v>
      </c>
      <c r="H40" s="14"/>
    </row>
    <row r="41" spans="2:8" ht="55.5" customHeight="1">
      <c r="B41" s="345"/>
      <c r="C41" s="10" t="s">
        <v>170</v>
      </c>
      <c r="D41" s="120">
        <v>77.63</v>
      </c>
      <c r="E41" s="123">
        <v>9</v>
      </c>
      <c r="F41" s="10">
        <v>1</v>
      </c>
      <c r="G41" s="121" t="s">
        <v>150</v>
      </c>
      <c r="H41" s="14"/>
    </row>
    <row r="42" spans="2:8" ht="55.5" customHeight="1">
      <c r="B42" s="345"/>
      <c r="C42" s="10" t="s">
        <v>171</v>
      </c>
      <c r="D42" s="120">
        <v>387.18</v>
      </c>
      <c r="E42" s="120" t="s">
        <v>162</v>
      </c>
      <c r="F42" s="10">
        <v>2</v>
      </c>
      <c r="G42" s="121" t="s">
        <v>149</v>
      </c>
      <c r="H42" s="14"/>
    </row>
    <row r="43" spans="2:8" ht="55.5" customHeight="1">
      <c r="B43" s="345"/>
      <c r="C43" s="10" t="s">
        <v>171</v>
      </c>
      <c r="D43" s="120">
        <v>259.88</v>
      </c>
      <c r="E43" s="120">
        <v>4.5</v>
      </c>
      <c r="F43" s="10">
        <v>2</v>
      </c>
      <c r="G43" s="121" t="s">
        <v>150</v>
      </c>
      <c r="H43" s="14"/>
    </row>
    <row r="44" spans="2:8" ht="55.5" customHeight="1">
      <c r="B44" s="345"/>
      <c r="C44" s="10" t="s">
        <v>172</v>
      </c>
      <c r="D44" s="120">
        <v>61.88</v>
      </c>
      <c r="E44" s="120">
        <v>3</v>
      </c>
      <c r="F44" s="10">
        <v>1</v>
      </c>
      <c r="G44" s="121" t="s">
        <v>149</v>
      </c>
      <c r="H44" s="14"/>
    </row>
    <row r="45" spans="2:8" ht="55.5" customHeight="1">
      <c r="B45" s="345"/>
      <c r="C45" s="10" t="s">
        <v>172</v>
      </c>
      <c r="D45" s="120">
        <v>0</v>
      </c>
      <c r="E45" s="120">
        <v>2.7</v>
      </c>
      <c r="F45" s="10">
        <v>0</v>
      </c>
      <c r="G45" s="121" t="s">
        <v>150</v>
      </c>
      <c r="H45" s="14"/>
    </row>
    <row r="46" spans="2:8" ht="55.5" customHeight="1">
      <c r="B46" s="345"/>
      <c r="C46" s="10" t="s">
        <v>173</v>
      </c>
      <c r="D46" s="120">
        <v>510</v>
      </c>
      <c r="E46" s="120" t="s">
        <v>174</v>
      </c>
      <c r="F46" s="10">
        <v>1</v>
      </c>
      <c r="G46" s="121" t="s">
        <v>149</v>
      </c>
      <c r="H46" s="14"/>
    </row>
    <row r="47" spans="2:8" ht="55.5" customHeight="1">
      <c r="B47" s="345"/>
      <c r="C47" s="10" t="s">
        <v>173</v>
      </c>
      <c r="D47" s="120">
        <v>334.47</v>
      </c>
      <c r="E47" s="120">
        <v>4.5</v>
      </c>
      <c r="F47" s="10">
        <v>2</v>
      </c>
      <c r="G47" s="121" t="s">
        <v>150</v>
      </c>
      <c r="H47" s="14"/>
    </row>
    <row r="48" spans="2:8" ht="55.5" customHeight="1">
      <c r="B48" s="345"/>
      <c r="C48" s="10" t="s">
        <v>175</v>
      </c>
      <c r="D48" s="120">
        <v>58.13</v>
      </c>
      <c r="E48" s="120" t="s">
        <v>160</v>
      </c>
      <c r="F48" s="10">
        <v>1</v>
      </c>
      <c r="G48" s="121" t="s">
        <v>149</v>
      </c>
      <c r="H48" s="14"/>
    </row>
    <row r="49" spans="2:8" ht="55.5" customHeight="1">
      <c r="B49" s="345"/>
      <c r="C49" s="10" t="s">
        <v>175</v>
      </c>
      <c r="D49" s="120">
        <v>0</v>
      </c>
      <c r="E49" s="120">
        <v>2.7</v>
      </c>
      <c r="F49" s="10">
        <v>0</v>
      </c>
      <c r="G49" s="121" t="s">
        <v>150</v>
      </c>
      <c r="H49" s="14"/>
    </row>
    <row r="50" spans="2:8" ht="55.5" customHeight="1">
      <c r="B50" s="345"/>
      <c r="C50" s="122" t="s">
        <v>176</v>
      </c>
      <c r="D50" s="123">
        <v>1173</v>
      </c>
      <c r="E50" s="120" t="s">
        <v>162</v>
      </c>
      <c r="F50" s="10">
        <v>6</v>
      </c>
      <c r="G50" s="121" t="s">
        <v>149</v>
      </c>
      <c r="H50" s="14"/>
    </row>
    <row r="51" spans="2:8" ht="55.5" customHeight="1">
      <c r="B51" s="345"/>
      <c r="C51" s="122" t="s">
        <v>176</v>
      </c>
      <c r="D51" s="123">
        <v>622.44000000000005</v>
      </c>
      <c r="E51" s="120">
        <v>4.5</v>
      </c>
      <c r="F51" s="10">
        <v>5</v>
      </c>
      <c r="G51" s="121" t="s">
        <v>150</v>
      </c>
      <c r="H51" s="14"/>
    </row>
    <row r="52" spans="2:8" ht="55.5" customHeight="1">
      <c r="B52" s="345"/>
      <c r="C52" s="122" t="s">
        <v>177</v>
      </c>
      <c r="D52" s="123">
        <v>136</v>
      </c>
      <c r="E52" s="120">
        <v>3</v>
      </c>
      <c r="F52" s="122">
        <v>1</v>
      </c>
      <c r="G52" s="121" t="s">
        <v>149</v>
      </c>
      <c r="H52" s="14"/>
    </row>
    <row r="53" spans="2:8" ht="55.5" customHeight="1">
      <c r="B53" s="345"/>
      <c r="C53" s="122" t="s">
        <v>177</v>
      </c>
      <c r="D53" s="123">
        <v>0</v>
      </c>
      <c r="E53" s="120">
        <v>2.7</v>
      </c>
      <c r="F53" s="122">
        <v>0</v>
      </c>
      <c r="G53" s="121" t="s">
        <v>150</v>
      </c>
      <c r="H53" s="14"/>
    </row>
    <row r="54" spans="2:8" ht="55.5" customHeight="1">
      <c r="B54" s="345"/>
      <c r="C54" s="10" t="s">
        <v>178</v>
      </c>
      <c r="D54" s="120">
        <v>119</v>
      </c>
      <c r="E54" s="120">
        <v>4.25</v>
      </c>
      <c r="F54" s="10">
        <v>1</v>
      </c>
      <c r="G54" s="121" t="s">
        <v>149</v>
      </c>
      <c r="H54" s="14"/>
    </row>
    <row r="55" spans="2:8" ht="55.5" customHeight="1">
      <c r="B55" s="345"/>
      <c r="C55" s="10" t="s">
        <v>178</v>
      </c>
      <c r="D55" s="120">
        <v>0</v>
      </c>
      <c r="E55" s="120">
        <v>4.5</v>
      </c>
      <c r="F55" s="10">
        <v>0</v>
      </c>
      <c r="G55" s="121" t="s">
        <v>150</v>
      </c>
      <c r="H55" s="14"/>
    </row>
    <row r="56" spans="2:8" ht="55.5" customHeight="1">
      <c r="B56" s="345"/>
      <c r="C56" s="10" t="s">
        <v>179</v>
      </c>
      <c r="D56" s="120">
        <v>439.88</v>
      </c>
      <c r="E56" s="120" t="s">
        <v>156</v>
      </c>
      <c r="F56" s="10">
        <v>3</v>
      </c>
      <c r="G56" s="121" t="s">
        <v>149</v>
      </c>
      <c r="H56" s="14"/>
    </row>
    <row r="57" spans="2:8" ht="55.5" customHeight="1">
      <c r="B57" s="345"/>
      <c r="C57" s="10" t="s">
        <v>179</v>
      </c>
      <c r="D57" s="120">
        <v>479.52</v>
      </c>
      <c r="E57" s="120">
        <v>4.5</v>
      </c>
      <c r="F57" s="10">
        <v>3</v>
      </c>
      <c r="G57" s="121" t="s">
        <v>150</v>
      </c>
      <c r="H57" s="14"/>
    </row>
    <row r="58" spans="2:8" ht="55.5" customHeight="1">
      <c r="B58" s="345"/>
      <c r="C58" s="10" t="s">
        <v>180</v>
      </c>
      <c r="D58" s="120">
        <v>0</v>
      </c>
      <c r="E58" s="120" t="s">
        <v>160</v>
      </c>
      <c r="F58" s="10">
        <v>0</v>
      </c>
      <c r="G58" s="121" t="s">
        <v>149</v>
      </c>
      <c r="H58" s="14"/>
    </row>
    <row r="59" spans="2:8" ht="55.5" customHeight="1">
      <c r="B59" s="345"/>
      <c r="C59" s="10" t="s">
        <v>180</v>
      </c>
      <c r="D59" s="120">
        <v>0</v>
      </c>
      <c r="E59" s="120">
        <v>2.7</v>
      </c>
      <c r="F59" s="10">
        <v>0</v>
      </c>
      <c r="G59" s="121" t="s">
        <v>150</v>
      </c>
      <c r="H59" s="14"/>
    </row>
    <row r="60" spans="2:8" ht="55.5" customHeight="1">
      <c r="B60" s="345"/>
      <c r="C60" s="10" t="s">
        <v>181</v>
      </c>
      <c r="D60" s="120">
        <v>1506.21</v>
      </c>
      <c r="E60" s="120" t="s">
        <v>162</v>
      </c>
      <c r="F60" s="10">
        <v>2</v>
      </c>
      <c r="G60" s="121" t="s">
        <v>149</v>
      </c>
      <c r="H60" s="14"/>
    </row>
    <row r="61" spans="2:8" ht="55.5" customHeight="1">
      <c r="B61" s="345"/>
      <c r="C61" s="10" t="s">
        <v>181</v>
      </c>
      <c r="D61" s="120">
        <v>695.25</v>
      </c>
      <c r="E61" s="120">
        <v>4.5</v>
      </c>
      <c r="F61" s="10">
        <v>3</v>
      </c>
      <c r="G61" s="121" t="s">
        <v>150</v>
      </c>
      <c r="H61" s="14"/>
    </row>
    <row r="62" spans="2:8" ht="55.5" customHeight="1">
      <c r="B62" s="345"/>
      <c r="C62" s="10" t="s">
        <v>182</v>
      </c>
      <c r="D62" s="120">
        <v>216</v>
      </c>
      <c r="E62" s="120">
        <v>3</v>
      </c>
      <c r="F62" s="10">
        <v>1</v>
      </c>
      <c r="G62" s="121" t="s">
        <v>149</v>
      </c>
      <c r="H62" s="14"/>
    </row>
    <row r="63" spans="2:8" ht="55.5" customHeight="1">
      <c r="B63" s="345"/>
      <c r="C63" s="10" t="s">
        <v>182</v>
      </c>
      <c r="D63" s="120">
        <v>346.68</v>
      </c>
      <c r="E63" s="120">
        <v>2.7</v>
      </c>
      <c r="F63" s="10">
        <v>2</v>
      </c>
      <c r="G63" s="121" t="s">
        <v>150</v>
      </c>
      <c r="H63" s="14"/>
    </row>
    <row r="64" spans="2:8" ht="55.5" customHeight="1">
      <c r="B64" s="345"/>
      <c r="C64" s="10" t="s">
        <v>183</v>
      </c>
      <c r="D64" s="120">
        <v>0</v>
      </c>
      <c r="E64" s="120">
        <v>3</v>
      </c>
      <c r="F64" s="10">
        <v>0</v>
      </c>
      <c r="G64" s="121" t="s">
        <v>149</v>
      </c>
      <c r="H64" s="14"/>
    </row>
    <row r="65" spans="2:8" ht="55.5" customHeight="1">
      <c r="B65" s="345"/>
      <c r="C65" s="10" t="s">
        <v>183</v>
      </c>
      <c r="D65" s="120">
        <v>0</v>
      </c>
      <c r="E65" s="120">
        <v>2.7</v>
      </c>
      <c r="F65" s="10">
        <v>0</v>
      </c>
      <c r="G65" s="121" t="s">
        <v>150</v>
      </c>
      <c r="H65" s="14"/>
    </row>
    <row r="66" spans="2:8" ht="55.5" customHeight="1">
      <c r="B66" s="345"/>
      <c r="C66" s="10" t="s">
        <v>184</v>
      </c>
      <c r="D66" s="120">
        <v>1170.8800000000001</v>
      </c>
      <c r="E66" s="120" t="s">
        <v>156</v>
      </c>
      <c r="F66" s="10">
        <v>6</v>
      </c>
      <c r="G66" s="121" t="s">
        <v>149</v>
      </c>
      <c r="H66" s="14"/>
    </row>
    <row r="67" spans="2:8" ht="55.5" customHeight="1">
      <c r="B67" s="345"/>
      <c r="C67" s="10" t="s">
        <v>184</v>
      </c>
      <c r="D67" s="120">
        <v>447.87</v>
      </c>
      <c r="E67" s="120">
        <v>4.5</v>
      </c>
      <c r="F67" s="10">
        <v>4</v>
      </c>
      <c r="G67" s="121" t="s">
        <v>150</v>
      </c>
      <c r="H67" s="14"/>
    </row>
    <row r="68" spans="2:8" ht="55.5" customHeight="1">
      <c r="B68" s="345"/>
      <c r="C68" s="10" t="s">
        <v>185</v>
      </c>
      <c r="D68" s="120">
        <v>0</v>
      </c>
      <c r="E68" s="120">
        <v>3</v>
      </c>
      <c r="F68" s="10">
        <v>0</v>
      </c>
      <c r="G68" s="121" t="s">
        <v>149</v>
      </c>
      <c r="H68" s="14"/>
    </row>
    <row r="69" spans="2:8" ht="55.5" customHeight="1">
      <c r="B69" s="345"/>
      <c r="C69" s="10" t="s">
        <v>185</v>
      </c>
      <c r="D69" s="120">
        <v>0</v>
      </c>
      <c r="E69" s="120">
        <v>2.7</v>
      </c>
      <c r="F69" s="10">
        <v>0</v>
      </c>
      <c r="G69" s="121" t="s">
        <v>150</v>
      </c>
      <c r="H69" s="14"/>
    </row>
    <row r="70" spans="2:8" ht="55.5" customHeight="1">
      <c r="B70" s="345"/>
      <c r="C70" s="122" t="s">
        <v>186</v>
      </c>
      <c r="D70" s="123">
        <v>137.25</v>
      </c>
      <c r="E70" s="120">
        <v>3</v>
      </c>
      <c r="F70" s="121">
        <v>2</v>
      </c>
      <c r="G70" s="121" t="s">
        <v>149</v>
      </c>
      <c r="H70" s="14"/>
    </row>
    <row r="71" spans="2:8" ht="55.5" customHeight="1">
      <c r="B71" s="345"/>
      <c r="C71" s="122" t="s">
        <v>186</v>
      </c>
      <c r="D71" s="123">
        <v>150.66</v>
      </c>
      <c r="E71" s="120">
        <v>2.7</v>
      </c>
      <c r="F71" s="121">
        <v>3</v>
      </c>
      <c r="G71" s="121" t="s">
        <v>150</v>
      </c>
      <c r="H71" s="14"/>
    </row>
    <row r="72" spans="2:8" ht="55.5" customHeight="1">
      <c r="B72" s="345"/>
      <c r="C72" s="10" t="s">
        <v>187</v>
      </c>
      <c r="D72" s="120">
        <v>204.65</v>
      </c>
      <c r="E72" s="120">
        <v>3</v>
      </c>
      <c r="F72" s="10">
        <v>4</v>
      </c>
      <c r="G72" s="121" t="s">
        <v>149</v>
      </c>
      <c r="H72" s="14"/>
    </row>
    <row r="73" spans="2:8" ht="55.5" customHeight="1">
      <c r="B73" s="345"/>
      <c r="C73" s="10" t="s">
        <v>187</v>
      </c>
      <c r="D73" s="120">
        <v>0</v>
      </c>
      <c r="E73" s="120">
        <v>2.7</v>
      </c>
      <c r="F73" s="10">
        <v>0</v>
      </c>
      <c r="G73" s="121" t="s">
        <v>150</v>
      </c>
      <c r="H73" s="14"/>
    </row>
    <row r="74" spans="2:8" ht="55.5" customHeight="1">
      <c r="B74" s="345"/>
      <c r="C74" s="10" t="s">
        <v>188</v>
      </c>
      <c r="D74" s="120">
        <v>1789.68</v>
      </c>
      <c r="E74" s="120" t="s">
        <v>156</v>
      </c>
      <c r="F74" s="10">
        <v>3</v>
      </c>
      <c r="G74" s="121" t="s">
        <v>149</v>
      </c>
      <c r="H74" s="14"/>
    </row>
    <row r="75" spans="2:8" ht="55.5" customHeight="1">
      <c r="B75" s="345"/>
      <c r="C75" s="10" t="s">
        <v>188</v>
      </c>
      <c r="D75" s="120">
        <v>599.4</v>
      </c>
      <c r="E75" s="120">
        <v>4.5</v>
      </c>
      <c r="F75" s="10">
        <v>2</v>
      </c>
      <c r="G75" s="121" t="s">
        <v>150</v>
      </c>
      <c r="H75" s="14"/>
    </row>
    <row r="76" spans="2:8" ht="55.5" customHeight="1">
      <c r="B76" s="345"/>
      <c r="C76" s="10" t="s">
        <v>189</v>
      </c>
      <c r="D76" s="120">
        <v>0</v>
      </c>
      <c r="E76" s="120">
        <v>3</v>
      </c>
      <c r="F76" s="10">
        <v>0</v>
      </c>
      <c r="G76" s="121" t="s">
        <v>149</v>
      </c>
      <c r="H76" s="14"/>
    </row>
    <row r="77" spans="2:8" ht="55.5" customHeight="1">
      <c r="B77" s="345"/>
      <c r="C77" s="10" t="s">
        <v>189</v>
      </c>
      <c r="D77" s="120">
        <v>0</v>
      </c>
      <c r="E77" s="120">
        <v>2.7</v>
      </c>
      <c r="F77" s="10">
        <v>0</v>
      </c>
      <c r="G77" s="121" t="s">
        <v>150</v>
      </c>
      <c r="H77" s="14"/>
    </row>
    <row r="78" spans="2:8" ht="55.5" customHeight="1">
      <c r="B78" s="345"/>
      <c r="C78" s="10" t="s">
        <v>190</v>
      </c>
      <c r="D78" s="120">
        <v>114</v>
      </c>
      <c r="E78" s="120" t="s">
        <v>156</v>
      </c>
      <c r="F78" s="10">
        <v>2</v>
      </c>
      <c r="G78" s="121" t="s">
        <v>149</v>
      </c>
      <c r="H78" s="14"/>
    </row>
    <row r="79" spans="2:8" ht="55.5" customHeight="1">
      <c r="B79" s="345"/>
      <c r="C79" s="10" t="s">
        <v>190</v>
      </c>
      <c r="D79" s="120">
        <v>77.760000000000005</v>
      </c>
      <c r="E79" s="120">
        <v>4.5</v>
      </c>
      <c r="F79" s="10">
        <v>2</v>
      </c>
      <c r="G79" s="121" t="s">
        <v>150</v>
      </c>
      <c r="H79" s="14"/>
    </row>
    <row r="80" spans="2:8" ht="55.5" customHeight="1">
      <c r="B80" s="345"/>
      <c r="C80" s="10" t="s">
        <v>191</v>
      </c>
      <c r="D80" s="120">
        <v>125.55</v>
      </c>
      <c r="E80" s="120" t="s">
        <v>156</v>
      </c>
      <c r="F80" s="10">
        <v>2</v>
      </c>
      <c r="G80" s="121" t="s">
        <v>149</v>
      </c>
      <c r="H80" s="14"/>
    </row>
    <row r="81" spans="2:8" ht="55.5" customHeight="1">
      <c r="B81" s="345"/>
      <c r="C81" s="10" t="s">
        <v>191</v>
      </c>
      <c r="D81" s="120">
        <v>88.43</v>
      </c>
      <c r="E81" s="120">
        <v>4.5</v>
      </c>
      <c r="F81" s="10">
        <v>2</v>
      </c>
      <c r="G81" s="121" t="s">
        <v>150</v>
      </c>
      <c r="H81" s="14"/>
    </row>
    <row r="82" spans="2:8" ht="55.5" customHeight="1">
      <c r="B82" s="345"/>
      <c r="C82" s="10" t="s">
        <v>192</v>
      </c>
      <c r="D82" s="120">
        <v>46.5</v>
      </c>
      <c r="E82" s="120">
        <v>3</v>
      </c>
      <c r="F82" s="10">
        <v>1</v>
      </c>
      <c r="G82" s="121" t="s">
        <v>149</v>
      </c>
      <c r="H82" s="14"/>
    </row>
    <row r="83" spans="2:8" ht="55.5" customHeight="1">
      <c r="B83" s="345"/>
      <c r="C83" s="10" t="s">
        <v>192</v>
      </c>
      <c r="D83" s="120">
        <v>158.76</v>
      </c>
      <c r="E83" s="120">
        <v>2.7</v>
      </c>
      <c r="F83" s="10">
        <v>2</v>
      </c>
      <c r="G83" s="121" t="s">
        <v>150</v>
      </c>
      <c r="H83" s="14"/>
    </row>
    <row r="84" spans="2:8" ht="55.5" customHeight="1">
      <c r="B84" s="345"/>
      <c r="C84" s="122" t="s">
        <v>193</v>
      </c>
      <c r="D84" s="123">
        <v>0</v>
      </c>
      <c r="E84" s="123">
        <v>6</v>
      </c>
      <c r="F84" s="122">
        <v>0</v>
      </c>
      <c r="G84" s="121" t="s">
        <v>149</v>
      </c>
      <c r="H84" s="14"/>
    </row>
    <row r="85" spans="2:8" ht="55.5" customHeight="1">
      <c r="B85" s="345"/>
      <c r="C85" s="122" t="s">
        <v>193</v>
      </c>
      <c r="D85" s="123">
        <v>0</v>
      </c>
      <c r="E85" s="123">
        <v>9</v>
      </c>
      <c r="F85" s="122">
        <v>0</v>
      </c>
      <c r="G85" s="121" t="s">
        <v>150</v>
      </c>
      <c r="H85" s="14"/>
    </row>
    <row r="86" spans="2:8" ht="55.5" customHeight="1">
      <c r="B86" s="345"/>
      <c r="C86" s="10" t="s">
        <v>194</v>
      </c>
      <c r="D86" s="120">
        <v>183.75</v>
      </c>
      <c r="E86" s="120">
        <v>3</v>
      </c>
      <c r="F86" s="10">
        <v>2</v>
      </c>
      <c r="G86" s="121" t="s">
        <v>149</v>
      </c>
      <c r="H86" s="14"/>
    </row>
    <row r="87" spans="2:8" ht="55.5" customHeight="1">
      <c r="B87" s="345"/>
      <c r="C87" s="10" t="s">
        <v>194</v>
      </c>
      <c r="D87" s="120">
        <v>136.13</v>
      </c>
      <c r="E87" s="120">
        <v>2.7</v>
      </c>
      <c r="F87" s="10">
        <v>3</v>
      </c>
      <c r="G87" s="121" t="s">
        <v>150</v>
      </c>
      <c r="H87" s="14"/>
    </row>
    <row r="88" spans="2:8" ht="55.5" customHeight="1">
      <c r="B88" s="345"/>
      <c r="C88" s="10" t="s">
        <v>195</v>
      </c>
      <c r="D88" s="120">
        <v>0</v>
      </c>
      <c r="E88" s="120">
        <v>3</v>
      </c>
      <c r="F88" s="10">
        <v>0</v>
      </c>
      <c r="G88" s="121" t="s">
        <v>149</v>
      </c>
      <c r="H88" s="14"/>
    </row>
    <row r="89" spans="2:8" ht="55.5" customHeight="1">
      <c r="B89" s="345"/>
      <c r="C89" s="10" t="s">
        <v>195</v>
      </c>
      <c r="D89" s="120">
        <v>0</v>
      </c>
      <c r="E89" s="120">
        <v>2.7</v>
      </c>
      <c r="F89" s="10">
        <v>0</v>
      </c>
      <c r="G89" s="121" t="s">
        <v>150</v>
      </c>
      <c r="H89" s="14"/>
    </row>
    <row r="90" spans="2:8" ht="55.5" customHeight="1">
      <c r="B90" s="345"/>
      <c r="C90" s="10" t="s">
        <v>196</v>
      </c>
      <c r="D90" s="120">
        <v>366.38</v>
      </c>
      <c r="E90" s="120">
        <v>3</v>
      </c>
      <c r="F90" s="10">
        <v>5</v>
      </c>
      <c r="G90" s="121" t="s">
        <v>149</v>
      </c>
      <c r="H90" s="14"/>
    </row>
    <row r="91" spans="2:8" ht="55.5" customHeight="1">
      <c r="B91" s="345"/>
      <c r="C91" s="10" t="s">
        <v>196</v>
      </c>
      <c r="D91" s="120">
        <v>108.14</v>
      </c>
      <c r="E91" s="120">
        <v>2.7</v>
      </c>
      <c r="F91" s="10">
        <v>2</v>
      </c>
      <c r="G91" s="121" t="s">
        <v>150</v>
      </c>
      <c r="H91" s="14"/>
    </row>
    <row r="92" spans="2:8" ht="55.5" customHeight="1">
      <c r="B92" s="345"/>
      <c r="C92" s="10" t="s">
        <v>197</v>
      </c>
      <c r="D92" s="120">
        <v>0</v>
      </c>
      <c r="E92" s="120">
        <v>3</v>
      </c>
      <c r="F92" s="10">
        <v>0</v>
      </c>
      <c r="G92" s="121" t="s">
        <v>149</v>
      </c>
      <c r="H92" s="14"/>
    </row>
    <row r="93" spans="2:8" ht="55.5" customHeight="1">
      <c r="B93" s="345"/>
      <c r="C93" s="10" t="s">
        <v>197</v>
      </c>
      <c r="D93" s="120">
        <v>152.69</v>
      </c>
      <c r="E93" s="120">
        <v>2.7</v>
      </c>
      <c r="F93" s="10">
        <v>3</v>
      </c>
      <c r="G93" s="121" t="s">
        <v>150</v>
      </c>
      <c r="H93" s="14"/>
    </row>
    <row r="94" spans="2:8" ht="55.5" customHeight="1">
      <c r="B94" s="345"/>
      <c r="C94" s="122" t="s">
        <v>198</v>
      </c>
      <c r="D94" s="123">
        <v>234</v>
      </c>
      <c r="E94" s="120">
        <v>3</v>
      </c>
      <c r="F94" s="122">
        <v>2</v>
      </c>
      <c r="G94" s="121" t="s">
        <v>149</v>
      </c>
      <c r="H94" s="14"/>
    </row>
    <row r="95" spans="2:8" ht="55.5" customHeight="1">
      <c r="B95" s="345"/>
      <c r="C95" s="122" t="s">
        <v>198</v>
      </c>
      <c r="D95" s="123">
        <v>157.34</v>
      </c>
      <c r="E95" s="120">
        <v>2.7</v>
      </c>
      <c r="F95" s="122">
        <v>3</v>
      </c>
      <c r="G95" s="121" t="s">
        <v>150</v>
      </c>
      <c r="H95" s="14"/>
    </row>
    <row r="96" spans="2:8" ht="55.5" customHeight="1">
      <c r="B96" s="345"/>
      <c r="C96" s="10" t="s">
        <v>199</v>
      </c>
      <c r="D96" s="120">
        <v>0</v>
      </c>
      <c r="E96" s="120">
        <v>3</v>
      </c>
      <c r="F96" s="10">
        <v>0</v>
      </c>
      <c r="G96" s="121" t="s">
        <v>149</v>
      </c>
      <c r="H96" s="14"/>
    </row>
    <row r="97" spans="1:9" ht="55.5" customHeight="1">
      <c r="B97" s="345"/>
      <c r="C97" s="10" t="s">
        <v>199</v>
      </c>
      <c r="D97" s="120">
        <v>0</v>
      </c>
      <c r="E97" s="120">
        <v>2.7</v>
      </c>
      <c r="F97" s="10">
        <v>0</v>
      </c>
      <c r="G97" s="121" t="s">
        <v>150</v>
      </c>
      <c r="H97" s="14"/>
    </row>
    <row r="98" spans="1:9" ht="55.5" customHeight="1">
      <c r="B98" s="345"/>
      <c r="C98" s="10" t="s">
        <v>200</v>
      </c>
      <c r="D98" s="120">
        <v>7390.71</v>
      </c>
      <c r="E98" s="120">
        <v>4.75</v>
      </c>
      <c r="F98" s="10">
        <v>12</v>
      </c>
      <c r="G98" s="10" t="s">
        <v>201</v>
      </c>
      <c r="H98" s="14"/>
    </row>
    <row r="99" spans="1:9" ht="55.5" customHeight="1">
      <c r="B99" s="345"/>
      <c r="C99" s="10" t="s">
        <v>200</v>
      </c>
      <c r="D99" s="120">
        <v>3507.3</v>
      </c>
      <c r="E99" s="120">
        <v>6</v>
      </c>
      <c r="F99" s="10">
        <v>10</v>
      </c>
      <c r="G99" s="10" t="s">
        <v>202</v>
      </c>
      <c r="H99" s="14"/>
    </row>
    <row r="100" spans="1:9" ht="55.5" customHeight="1">
      <c r="B100" s="346"/>
      <c r="C100" s="10" t="s">
        <v>200</v>
      </c>
      <c r="D100" s="120">
        <v>0</v>
      </c>
      <c r="E100" s="120">
        <v>9.5</v>
      </c>
      <c r="F100" s="10">
        <v>0</v>
      </c>
      <c r="G100" s="10" t="s">
        <v>201</v>
      </c>
      <c r="H100" s="14"/>
    </row>
    <row r="101" spans="1:9" ht="55.5" customHeight="1">
      <c r="B101" s="9"/>
      <c r="C101" s="10" t="s">
        <v>200</v>
      </c>
      <c r="D101" s="120">
        <v>0</v>
      </c>
      <c r="E101" s="120">
        <v>20</v>
      </c>
      <c r="F101" s="10">
        <v>0</v>
      </c>
      <c r="G101" s="10" t="s">
        <v>202</v>
      </c>
      <c r="H101" s="14"/>
    </row>
    <row r="102" spans="1:9" ht="25.5" customHeight="1">
      <c r="B102" s="124" t="s">
        <v>33</v>
      </c>
      <c r="C102" s="7"/>
      <c r="D102" s="125">
        <f>SUM(D8:D101)</f>
        <v>50046.250000000022</v>
      </c>
      <c r="E102" s="125">
        <f>SUM(E8:E101)</f>
        <v>308.49999999999983</v>
      </c>
      <c r="F102" s="126">
        <f>SUM(F8:F101)</f>
        <v>207</v>
      </c>
      <c r="G102" s="16"/>
      <c r="H102" s="14"/>
    </row>
    <row r="103" spans="1:9" ht="55.5" customHeight="1">
      <c r="B103" s="387" t="s">
        <v>34</v>
      </c>
      <c r="C103" s="10" t="s">
        <v>203</v>
      </c>
      <c r="D103" s="120">
        <v>0</v>
      </c>
      <c r="E103" s="120">
        <v>0</v>
      </c>
      <c r="F103" s="10">
        <v>9</v>
      </c>
      <c r="G103" s="10" t="s">
        <v>204</v>
      </c>
      <c r="H103" s="14"/>
    </row>
    <row r="104" spans="1:9" ht="55.5" customHeight="1">
      <c r="B104" s="387"/>
      <c r="C104" s="10" t="s">
        <v>203</v>
      </c>
      <c r="D104" s="120">
        <v>111</v>
      </c>
      <c r="E104" s="120">
        <v>37</v>
      </c>
      <c r="F104" s="10">
        <v>3</v>
      </c>
      <c r="G104" s="10"/>
      <c r="H104" s="14"/>
    </row>
    <row r="105" spans="1:9" ht="55.5" customHeight="1">
      <c r="B105" s="387"/>
      <c r="C105" s="10" t="s">
        <v>205</v>
      </c>
      <c r="D105" s="120">
        <v>0</v>
      </c>
      <c r="E105" s="120">
        <v>0</v>
      </c>
      <c r="F105" s="10">
        <v>6</v>
      </c>
      <c r="G105" s="10" t="s">
        <v>204</v>
      </c>
      <c r="H105" s="14"/>
    </row>
    <row r="106" spans="1:9" ht="55.5" customHeight="1">
      <c r="B106" s="387"/>
      <c r="C106" s="10" t="s">
        <v>205</v>
      </c>
      <c r="D106" s="120">
        <v>2480</v>
      </c>
      <c r="E106" s="120">
        <v>124</v>
      </c>
      <c r="F106" s="10">
        <v>20</v>
      </c>
      <c r="G106" s="10"/>
      <c r="H106" s="14"/>
      <c r="I106" s="14"/>
    </row>
    <row r="107" spans="1:9" ht="25.5" customHeight="1">
      <c r="B107" s="15" t="s">
        <v>33</v>
      </c>
      <c r="C107" s="15"/>
      <c r="D107" s="125">
        <f>SUM(D103:D106)</f>
        <v>2591</v>
      </c>
      <c r="E107" s="125">
        <f>SUM(E103:E106)</f>
        <v>161</v>
      </c>
      <c r="F107" s="126">
        <f>SUM(F103:F106)</f>
        <v>38</v>
      </c>
      <c r="G107" s="16"/>
      <c r="H107" s="14"/>
      <c r="I107" s="14"/>
    </row>
    <row r="108" spans="1:9" ht="31.5" customHeight="1">
      <c r="B108" s="388" t="s">
        <v>61</v>
      </c>
      <c r="C108" s="388"/>
      <c r="D108" s="388"/>
      <c r="E108" s="388"/>
      <c r="F108" s="388"/>
      <c r="G108" s="389"/>
    </row>
    <row r="109" spans="1:9" ht="53.25" customHeight="1">
      <c r="A109" s="17"/>
      <c r="B109" s="4" t="s">
        <v>4</v>
      </c>
      <c r="C109" s="4" t="s">
        <v>62</v>
      </c>
      <c r="D109" s="4" t="s">
        <v>6</v>
      </c>
      <c r="E109" s="4" t="s">
        <v>63</v>
      </c>
      <c r="F109" s="4" t="s">
        <v>8</v>
      </c>
      <c r="G109" s="5" t="s">
        <v>64</v>
      </c>
    </row>
    <row r="110" spans="1:9" ht="33" customHeight="1">
      <c r="B110" s="18" t="s">
        <v>65</v>
      </c>
      <c r="C110" s="19"/>
      <c r="D110" s="120">
        <v>0</v>
      </c>
      <c r="E110" s="49">
        <v>0</v>
      </c>
      <c r="F110" s="20">
        <v>0</v>
      </c>
      <c r="G110" s="21"/>
    </row>
    <row r="111" spans="1:9" ht="20.100000000000001" customHeight="1">
      <c r="B111" s="28" t="s">
        <v>33</v>
      </c>
      <c r="C111" s="29"/>
      <c r="D111" s="51">
        <f>D110</f>
        <v>0</v>
      </c>
      <c r="E111" s="51">
        <f>E110</f>
        <v>0</v>
      </c>
      <c r="F111" s="82">
        <f>F110</f>
        <v>0</v>
      </c>
      <c r="G111" s="21"/>
    </row>
    <row r="112" spans="1:9" ht="39.9" customHeight="1">
      <c r="B112" s="18" t="s">
        <v>136</v>
      </c>
      <c r="C112" s="10" t="s">
        <v>206</v>
      </c>
      <c r="D112" s="49">
        <v>758.42</v>
      </c>
      <c r="E112" s="49">
        <v>728.76</v>
      </c>
      <c r="F112" s="20">
        <v>18</v>
      </c>
      <c r="G112" s="20" t="s">
        <v>207</v>
      </c>
    </row>
    <row r="113" spans="2:7" ht="20.100000000000001" customHeight="1">
      <c r="B113" s="28" t="s">
        <v>33</v>
      </c>
      <c r="C113" s="29"/>
      <c r="D113" s="51">
        <f>D112</f>
        <v>758.42</v>
      </c>
      <c r="E113" s="51">
        <f>E112</f>
        <v>728.76</v>
      </c>
      <c r="F113" s="82">
        <f>F112</f>
        <v>18</v>
      </c>
      <c r="G113" s="21"/>
    </row>
    <row r="114" spans="2:7" ht="39.9" customHeight="1">
      <c r="B114" s="18" t="s">
        <v>136</v>
      </c>
      <c r="C114" s="10" t="s">
        <v>208</v>
      </c>
      <c r="D114" s="120">
        <v>5343.84</v>
      </c>
      <c r="E114" s="120">
        <v>5692.16</v>
      </c>
      <c r="F114" s="20">
        <v>107</v>
      </c>
      <c r="G114" s="20" t="s">
        <v>209</v>
      </c>
    </row>
    <row r="115" spans="2:7" ht="20.100000000000001" customHeight="1">
      <c r="B115" s="28" t="s">
        <v>33</v>
      </c>
      <c r="C115" s="29"/>
      <c r="D115" s="51">
        <f>D114</f>
        <v>5343.84</v>
      </c>
      <c r="E115" s="51">
        <f>E114</f>
        <v>5692.16</v>
      </c>
      <c r="F115" s="82">
        <f>F114</f>
        <v>107</v>
      </c>
      <c r="G115" s="21"/>
    </row>
    <row r="116" spans="2:7" ht="59.4" customHeight="1">
      <c r="B116" s="18" t="s">
        <v>70</v>
      </c>
      <c r="C116" s="10" t="s">
        <v>210</v>
      </c>
      <c r="D116" s="120">
        <v>1352.35</v>
      </c>
      <c r="E116" s="120">
        <v>1108.48</v>
      </c>
      <c r="F116" s="20">
        <v>1</v>
      </c>
      <c r="G116" s="20" t="s">
        <v>211</v>
      </c>
    </row>
    <row r="117" spans="2:7" ht="20.100000000000001" customHeight="1">
      <c r="B117" s="28" t="s">
        <v>33</v>
      </c>
      <c r="C117" s="29"/>
      <c r="D117" s="51">
        <f>D116</f>
        <v>1352.35</v>
      </c>
      <c r="E117" s="51">
        <f>E116</f>
        <v>1108.48</v>
      </c>
      <c r="F117" s="82">
        <f>F116</f>
        <v>1</v>
      </c>
      <c r="G117" s="21"/>
    </row>
    <row r="118" spans="2:7" ht="39.9" customHeight="1">
      <c r="B118" s="18" t="s">
        <v>73</v>
      </c>
      <c r="C118" s="10" t="s">
        <v>212</v>
      </c>
      <c r="D118" s="120">
        <v>20842.41</v>
      </c>
      <c r="E118" s="120">
        <v>20580</v>
      </c>
      <c r="F118" s="20">
        <v>1</v>
      </c>
      <c r="G118" s="20" t="s">
        <v>213</v>
      </c>
    </row>
    <row r="119" spans="2:7" ht="20.100000000000001" customHeight="1">
      <c r="B119" s="28" t="s">
        <v>33</v>
      </c>
      <c r="C119" s="29"/>
      <c r="D119" s="51">
        <f>D118</f>
        <v>20842.41</v>
      </c>
      <c r="E119" s="51">
        <f>E118</f>
        <v>20580</v>
      </c>
      <c r="F119" s="82">
        <f>F118</f>
        <v>1</v>
      </c>
      <c r="G119" s="21"/>
    </row>
    <row r="120" spans="2:7" ht="39.9" customHeight="1">
      <c r="B120" s="18" t="s">
        <v>74</v>
      </c>
      <c r="C120" s="31"/>
      <c r="D120" s="49">
        <v>0</v>
      </c>
      <c r="E120" s="49">
        <v>0</v>
      </c>
      <c r="F120" s="20">
        <v>0</v>
      </c>
      <c r="G120" s="21"/>
    </row>
    <row r="121" spans="2:7" ht="20.100000000000001" customHeight="1">
      <c r="B121" s="28" t="s">
        <v>33</v>
      </c>
      <c r="C121" s="29"/>
      <c r="D121" s="51">
        <f>D120</f>
        <v>0</v>
      </c>
      <c r="E121" s="51">
        <f>E120</f>
        <v>0</v>
      </c>
      <c r="F121" s="82">
        <f>F120</f>
        <v>0</v>
      </c>
      <c r="G121" s="21"/>
    </row>
    <row r="122" spans="2:7" ht="17.25" customHeight="1">
      <c r="B122" s="386"/>
      <c r="C122" s="386"/>
      <c r="D122" s="386"/>
      <c r="E122" s="386"/>
      <c r="F122" s="386"/>
      <c r="G122" s="386"/>
    </row>
    <row r="123" spans="2:7" ht="33" customHeight="1">
      <c r="B123" s="15" t="s">
        <v>75</v>
      </c>
      <c r="C123" s="29"/>
      <c r="D123" s="52">
        <f>SUM(D121,D119,D117,D115,D113,D111,D107,D102)</f>
        <v>80934.270000000019</v>
      </c>
      <c r="E123" s="52">
        <f>SUM(E121,E119,E117,E115,E113,E111,E107,E102)</f>
        <v>28578.899999999998</v>
      </c>
      <c r="F123" s="127">
        <f>SUM(F102+F107+F121)</f>
        <v>245</v>
      </c>
      <c r="G123" s="21"/>
    </row>
    <row r="124" spans="2:7">
      <c r="B124" s="33"/>
      <c r="C124" s="34"/>
      <c r="D124" s="34"/>
      <c r="E124" s="34"/>
      <c r="F124" s="34"/>
    </row>
    <row r="125" spans="2:7">
      <c r="B125" s="35" t="s">
        <v>218</v>
      </c>
    </row>
    <row r="126" spans="2:7">
      <c r="B126" s="35"/>
    </row>
    <row r="127" spans="2:7">
      <c r="B127" s="36" t="s">
        <v>217</v>
      </c>
    </row>
    <row r="128" spans="2:7">
      <c r="B128" s="36" t="s">
        <v>215</v>
      </c>
    </row>
    <row r="129" spans="2:4">
      <c r="B129" s="36" t="s">
        <v>216</v>
      </c>
    </row>
    <row r="130" spans="2:4">
      <c r="B130" s="37"/>
    </row>
    <row r="131" spans="2:4">
      <c r="B131" t="s">
        <v>79</v>
      </c>
    </row>
    <row r="132" spans="2:4">
      <c r="B132" s="343"/>
      <c r="C132" s="343"/>
      <c r="D132" s="343"/>
    </row>
    <row r="134" spans="2:4" ht="15.75" customHeight="1"/>
  </sheetData>
  <mergeCells count="8">
    <mergeCell ref="B122:G122"/>
    <mergeCell ref="B132:D132"/>
    <mergeCell ref="B4:G4"/>
    <mergeCell ref="B5:G5"/>
    <mergeCell ref="B6:G6"/>
    <mergeCell ref="B8:B100"/>
    <mergeCell ref="B103:B106"/>
    <mergeCell ref="B108:G10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5F279-F923-40E3-B520-505E94B890BD}">
  <dimension ref="A1:J101"/>
  <sheetViews>
    <sheetView topLeftCell="A84" workbookViewId="0">
      <selection activeCell="B100" sqref="B100:C100"/>
    </sheetView>
  </sheetViews>
  <sheetFormatPr defaultColWidth="9.109375" defaultRowHeight="14.4"/>
  <cols>
    <col min="1" max="1" width="3.44140625" customWidth="1"/>
    <col min="2" max="2" width="45.109375" customWidth="1"/>
    <col min="3" max="3" width="31.109375" customWidth="1"/>
    <col min="4" max="4" width="16.6640625" customWidth="1"/>
    <col min="5" max="5" width="24.88671875" customWidth="1"/>
    <col min="6" max="6" width="15.33203125" customWidth="1"/>
    <col min="7" max="7" width="37.109375" customWidth="1"/>
  </cols>
  <sheetData>
    <row r="1" spans="2:9" ht="30" customHeight="1">
      <c r="B1" s="1" t="s">
        <v>0</v>
      </c>
    </row>
    <row r="2" spans="2:9" ht="25.5" customHeight="1">
      <c r="B2" s="1" t="s">
        <v>1</v>
      </c>
      <c r="D2" s="2"/>
      <c r="E2" s="2"/>
    </row>
    <row r="3" spans="2:9" ht="12.75" customHeight="1">
      <c r="B3" s="1"/>
      <c r="D3" s="2"/>
      <c r="E3" s="2"/>
    </row>
    <row r="4" spans="2:9" ht="32.25" customHeight="1">
      <c r="B4" s="363" t="s">
        <v>220</v>
      </c>
      <c r="C4" s="363"/>
      <c r="D4" s="363"/>
      <c r="E4" s="363"/>
      <c r="F4" s="363"/>
      <c r="G4" s="363"/>
    </row>
    <row r="5" spans="2:9" ht="31.5" customHeight="1">
      <c r="B5" s="363" t="s">
        <v>221</v>
      </c>
      <c r="C5" s="363"/>
      <c r="D5" s="363"/>
      <c r="E5" s="363"/>
      <c r="F5" s="363"/>
      <c r="G5" s="363"/>
    </row>
    <row r="6" spans="2:9" ht="26.25" customHeight="1">
      <c r="B6" s="364" t="s">
        <v>3</v>
      </c>
      <c r="C6" s="364"/>
      <c r="D6" s="364"/>
      <c r="E6" s="364"/>
      <c r="F6" s="364"/>
      <c r="G6" s="364"/>
    </row>
    <row r="7" spans="2:9" ht="55.5" customHeight="1">
      <c r="B7" s="3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5" t="s">
        <v>9</v>
      </c>
    </row>
    <row r="8" spans="2:9" ht="36.75" customHeight="1">
      <c r="B8" s="387" t="s">
        <v>83</v>
      </c>
      <c r="C8" s="128" t="s">
        <v>222</v>
      </c>
      <c r="D8" s="49">
        <v>973.08</v>
      </c>
      <c r="E8" s="136">
        <v>4.7699999999999996</v>
      </c>
      <c r="F8" s="54">
        <v>4</v>
      </c>
      <c r="G8" s="129"/>
    </row>
    <row r="9" spans="2:9" ht="36.75" customHeight="1">
      <c r="B9" s="387"/>
      <c r="C9" s="128" t="s">
        <v>223</v>
      </c>
      <c r="D9" s="49">
        <v>1503.9</v>
      </c>
      <c r="E9" s="136">
        <v>2.7</v>
      </c>
      <c r="F9" s="54">
        <v>2</v>
      </c>
      <c r="G9" s="129"/>
      <c r="I9" s="130"/>
    </row>
    <row r="10" spans="2:9" ht="36.75" customHeight="1">
      <c r="B10" s="387"/>
      <c r="C10" s="128" t="s">
        <v>224</v>
      </c>
      <c r="D10" s="49">
        <v>1720.98</v>
      </c>
      <c r="E10" s="136">
        <v>2.7</v>
      </c>
      <c r="F10" s="54">
        <v>2</v>
      </c>
      <c r="G10" s="129"/>
    </row>
    <row r="11" spans="2:9" ht="36.75" customHeight="1">
      <c r="B11" s="387"/>
      <c r="C11" s="128" t="s">
        <v>225</v>
      </c>
      <c r="D11" s="49">
        <v>396.36</v>
      </c>
      <c r="E11" s="136">
        <v>2.7</v>
      </c>
      <c r="F11" s="54">
        <v>2</v>
      </c>
      <c r="G11" s="129"/>
    </row>
    <row r="12" spans="2:9" ht="36.75" customHeight="1">
      <c r="B12" s="387"/>
      <c r="C12" s="128" t="s">
        <v>226</v>
      </c>
      <c r="D12" s="49">
        <v>1690.49</v>
      </c>
      <c r="E12" s="136">
        <v>4.7699999999999996</v>
      </c>
      <c r="F12" s="54">
        <v>2</v>
      </c>
      <c r="G12" s="129"/>
    </row>
    <row r="13" spans="2:9" ht="36.75" customHeight="1">
      <c r="B13" s="387"/>
      <c r="C13" s="128" t="s">
        <v>227</v>
      </c>
      <c r="D13" s="49">
        <v>51.94</v>
      </c>
      <c r="E13" s="136">
        <v>2.7</v>
      </c>
      <c r="F13" s="54">
        <v>1</v>
      </c>
      <c r="G13" s="38" t="s">
        <v>228</v>
      </c>
    </row>
    <row r="14" spans="2:9" ht="36.75" customHeight="1">
      <c r="B14" s="387"/>
      <c r="C14" s="128" t="s">
        <v>229</v>
      </c>
      <c r="D14" s="49">
        <v>0</v>
      </c>
      <c r="E14" s="136">
        <v>2.7</v>
      </c>
      <c r="F14" s="54">
        <v>3</v>
      </c>
      <c r="G14" s="129"/>
    </row>
    <row r="15" spans="2:9" ht="36.75" customHeight="1">
      <c r="B15" s="387"/>
      <c r="C15" s="128" t="s">
        <v>230</v>
      </c>
      <c r="D15" s="49">
        <v>590.29</v>
      </c>
      <c r="E15" s="136">
        <v>4.7699999999999996</v>
      </c>
      <c r="F15" s="54">
        <v>1</v>
      </c>
      <c r="G15" s="129"/>
    </row>
    <row r="16" spans="2:9" ht="36.75" customHeight="1">
      <c r="B16" s="387"/>
      <c r="C16" s="128" t="s">
        <v>231</v>
      </c>
      <c r="D16" s="49">
        <v>860.22</v>
      </c>
      <c r="E16" s="136">
        <v>2.7</v>
      </c>
      <c r="F16" s="54">
        <v>8</v>
      </c>
      <c r="G16" s="129"/>
    </row>
    <row r="17" spans="2:7" ht="36.75" customHeight="1">
      <c r="B17" s="387"/>
      <c r="C17" s="128" t="s">
        <v>232</v>
      </c>
      <c r="D17" s="49">
        <v>146.02000000000001</v>
      </c>
      <c r="E17" s="136">
        <v>2.7</v>
      </c>
      <c r="F17" s="54">
        <v>3</v>
      </c>
      <c r="G17" s="129"/>
    </row>
    <row r="18" spans="2:7" ht="36.75" customHeight="1">
      <c r="B18" s="387"/>
      <c r="C18" s="128" t="s">
        <v>233</v>
      </c>
      <c r="D18" s="49">
        <v>539.19000000000005</v>
      </c>
      <c r="E18" s="136">
        <v>2.7</v>
      </c>
      <c r="F18" s="54">
        <v>12</v>
      </c>
      <c r="G18" s="129"/>
    </row>
    <row r="19" spans="2:7" ht="36.75" customHeight="1">
      <c r="B19" s="387"/>
      <c r="C19" s="128" t="s">
        <v>234</v>
      </c>
      <c r="D19" s="49">
        <v>6099</v>
      </c>
      <c r="E19" s="136">
        <v>6.81</v>
      </c>
      <c r="F19" s="54">
        <v>7</v>
      </c>
      <c r="G19" s="129"/>
    </row>
    <row r="20" spans="2:7" ht="36.75" customHeight="1">
      <c r="B20" s="387"/>
      <c r="C20" s="128" t="s">
        <v>235</v>
      </c>
      <c r="D20" s="49">
        <v>1171.96</v>
      </c>
      <c r="E20" s="136">
        <v>4.7699999999999996</v>
      </c>
      <c r="F20" s="54">
        <v>6</v>
      </c>
      <c r="G20" s="129"/>
    </row>
    <row r="21" spans="2:7" ht="36.75" customHeight="1">
      <c r="B21" s="387"/>
      <c r="C21" s="128" t="s">
        <v>236</v>
      </c>
      <c r="D21" s="49">
        <v>336.09</v>
      </c>
      <c r="E21" s="136">
        <v>2.7</v>
      </c>
      <c r="F21" s="54">
        <v>5</v>
      </c>
      <c r="G21" s="129"/>
    </row>
    <row r="22" spans="2:7" ht="36.75" customHeight="1">
      <c r="B22" s="387"/>
      <c r="C22" s="128" t="s">
        <v>237</v>
      </c>
      <c r="D22" s="49">
        <v>1531.13</v>
      </c>
      <c r="E22" s="136">
        <v>9</v>
      </c>
      <c r="F22" s="54">
        <v>5</v>
      </c>
      <c r="G22" s="129"/>
    </row>
    <row r="23" spans="2:7" ht="36.75" customHeight="1">
      <c r="B23" s="387"/>
      <c r="C23" s="128" t="s">
        <v>238</v>
      </c>
      <c r="D23" s="49">
        <v>319.27</v>
      </c>
      <c r="E23" s="136">
        <v>9</v>
      </c>
      <c r="F23" s="54">
        <v>2</v>
      </c>
      <c r="G23" s="129"/>
    </row>
    <row r="24" spans="2:7" ht="36.75" customHeight="1">
      <c r="B24" s="387"/>
      <c r="C24" s="128" t="s">
        <v>237</v>
      </c>
      <c r="D24" s="49">
        <v>85.59</v>
      </c>
      <c r="E24" s="136">
        <v>2.7</v>
      </c>
      <c r="F24" s="54">
        <v>1</v>
      </c>
      <c r="G24" s="129"/>
    </row>
    <row r="25" spans="2:7" ht="36.75" customHeight="1">
      <c r="B25" s="387"/>
      <c r="C25" s="128" t="s">
        <v>239</v>
      </c>
      <c r="D25" s="49">
        <v>1437.44</v>
      </c>
      <c r="E25" s="136">
        <v>4.7699999999999996</v>
      </c>
      <c r="F25" s="54">
        <v>9</v>
      </c>
      <c r="G25" s="129"/>
    </row>
    <row r="26" spans="2:7" ht="36.75" customHeight="1">
      <c r="B26" s="387"/>
      <c r="C26" s="128" t="s">
        <v>240</v>
      </c>
      <c r="D26" s="49">
        <v>100.17</v>
      </c>
      <c r="E26" s="136">
        <v>4.7699999999999996</v>
      </c>
      <c r="F26" s="54">
        <v>2</v>
      </c>
      <c r="G26" s="129"/>
    </row>
    <row r="27" spans="2:7" ht="36.75" customHeight="1">
      <c r="B27" s="387"/>
      <c r="C27" s="128" t="s">
        <v>241</v>
      </c>
      <c r="D27" s="49">
        <v>423.57</v>
      </c>
      <c r="E27" s="136">
        <v>4.7699999999999996</v>
      </c>
      <c r="F27" s="54">
        <v>8</v>
      </c>
      <c r="G27" s="129"/>
    </row>
    <row r="28" spans="2:7" ht="36.75" customHeight="1">
      <c r="B28" s="387"/>
      <c r="C28" s="128" t="s">
        <v>242</v>
      </c>
      <c r="D28" s="49">
        <v>3045.17</v>
      </c>
      <c r="E28" s="136">
        <v>4.7699999999999996</v>
      </c>
      <c r="F28" s="54">
        <v>2</v>
      </c>
      <c r="G28" s="129"/>
    </row>
    <row r="29" spans="2:7" ht="36.75" customHeight="1">
      <c r="B29" s="387"/>
      <c r="C29" s="128" t="s">
        <v>243</v>
      </c>
      <c r="D29" s="49">
        <v>249</v>
      </c>
      <c r="E29" s="136">
        <v>4.7699999999999996</v>
      </c>
      <c r="F29" s="54">
        <v>4</v>
      </c>
      <c r="G29" s="129"/>
    </row>
    <row r="30" spans="2:7" ht="36.75" customHeight="1">
      <c r="B30" s="387"/>
      <c r="C30" s="128" t="s">
        <v>244</v>
      </c>
      <c r="D30" s="49">
        <v>494</v>
      </c>
      <c r="E30" s="136">
        <v>4.7699999999999996</v>
      </c>
      <c r="F30" s="54">
        <v>2</v>
      </c>
      <c r="G30" s="129"/>
    </row>
    <row r="31" spans="2:7" ht="36.75" customHeight="1">
      <c r="B31" s="387"/>
      <c r="C31" s="128" t="s">
        <v>245</v>
      </c>
      <c r="D31" s="49">
        <v>3037.53</v>
      </c>
      <c r="E31" s="136">
        <v>4.7699999999999996</v>
      </c>
      <c r="F31" s="54">
        <v>3</v>
      </c>
      <c r="G31" s="129"/>
    </row>
    <row r="32" spans="2:7" ht="36.75" customHeight="1">
      <c r="B32" s="387"/>
      <c r="C32" s="128" t="s">
        <v>246</v>
      </c>
      <c r="D32" s="49">
        <v>644.41999999999996</v>
      </c>
      <c r="E32" s="136">
        <v>4.7699999999999996</v>
      </c>
      <c r="F32" s="54">
        <v>3</v>
      </c>
      <c r="G32" s="129"/>
    </row>
    <row r="33" spans="2:7" ht="36.75" customHeight="1">
      <c r="B33" s="387"/>
      <c r="C33" s="128" t="s">
        <v>247</v>
      </c>
      <c r="D33" s="49">
        <v>624.39</v>
      </c>
      <c r="E33" s="136">
        <v>4.7699999999999996</v>
      </c>
      <c r="F33" s="54">
        <v>6</v>
      </c>
      <c r="G33" s="129"/>
    </row>
    <row r="34" spans="2:7" ht="36.75" customHeight="1">
      <c r="B34" s="387"/>
      <c r="C34" s="128" t="s">
        <v>248</v>
      </c>
      <c r="D34" s="49">
        <v>527.30999999999995</v>
      </c>
      <c r="E34" s="136">
        <v>2.7</v>
      </c>
      <c r="F34" s="54">
        <v>5</v>
      </c>
      <c r="G34" s="129"/>
    </row>
    <row r="35" spans="2:7" ht="36.75" customHeight="1">
      <c r="B35" s="387"/>
      <c r="C35" s="128" t="s">
        <v>249</v>
      </c>
      <c r="D35" s="49">
        <v>442.26</v>
      </c>
      <c r="E35" s="136">
        <v>2.7</v>
      </c>
      <c r="F35" s="54">
        <v>5</v>
      </c>
      <c r="G35" s="129"/>
    </row>
    <row r="36" spans="2:7" ht="36.75" customHeight="1">
      <c r="B36" s="387"/>
      <c r="C36" s="128" t="s">
        <v>250</v>
      </c>
      <c r="D36" s="49">
        <v>0</v>
      </c>
      <c r="E36" s="136">
        <v>4.7699999999999996</v>
      </c>
      <c r="F36" s="54">
        <v>3</v>
      </c>
      <c r="G36" s="129"/>
    </row>
    <row r="37" spans="2:7" ht="36.75" customHeight="1">
      <c r="B37" s="387"/>
      <c r="C37" s="128" t="s">
        <v>251</v>
      </c>
      <c r="D37" s="49">
        <v>533.79</v>
      </c>
      <c r="E37" s="136">
        <v>2.7</v>
      </c>
      <c r="F37" s="54">
        <v>5</v>
      </c>
      <c r="G37" s="129"/>
    </row>
    <row r="38" spans="2:7" ht="36.75" customHeight="1">
      <c r="B38" s="387"/>
      <c r="C38" s="128" t="s">
        <v>252</v>
      </c>
      <c r="D38" s="49">
        <v>483.84</v>
      </c>
      <c r="E38" s="136">
        <v>2.7</v>
      </c>
      <c r="F38" s="54">
        <v>8</v>
      </c>
      <c r="G38" s="129"/>
    </row>
    <row r="39" spans="2:7" ht="36.75" customHeight="1">
      <c r="B39" s="387"/>
      <c r="C39" s="128" t="s">
        <v>253</v>
      </c>
      <c r="D39" s="49">
        <v>595.62</v>
      </c>
      <c r="E39" s="136">
        <v>2.7</v>
      </c>
      <c r="F39" s="54">
        <v>9</v>
      </c>
      <c r="G39" s="129"/>
    </row>
    <row r="40" spans="2:7" ht="36.75" customHeight="1">
      <c r="B40" s="387"/>
      <c r="C40" s="128" t="s">
        <v>254</v>
      </c>
      <c r="D40" s="49">
        <v>138.24</v>
      </c>
      <c r="E40" s="136">
        <v>2.7</v>
      </c>
      <c r="F40" s="54">
        <v>2</v>
      </c>
      <c r="G40" s="129"/>
    </row>
    <row r="41" spans="2:7" ht="36.75" customHeight="1">
      <c r="B41" s="387"/>
      <c r="C41" s="128" t="s">
        <v>255</v>
      </c>
      <c r="D41" s="49">
        <v>200.48</v>
      </c>
      <c r="E41" s="136">
        <v>2.7</v>
      </c>
      <c r="F41" s="54">
        <v>1</v>
      </c>
      <c r="G41" s="129"/>
    </row>
    <row r="42" spans="2:7" ht="36.75" customHeight="1">
      <c r="B42" s="387"/>
      <c r="C42" s="128" t="s">
        <v>256</v>
      </c>
      <c r="D42" s="49">
        <v>200.48</v>
      </c>
      <c r="E42" s="136">
        <v>2.7</v>
      </c>
      <c r="F42" s="54">
        <v>1</v>
      </c>
      <c r="G42" s="129"/>
    </row>
    <row r="43" spans="2:7" ht="36.75" customHeight="1">
      <c r="B43" s="387"/>
      <c r="C43" s="128" t="s">
        <v>257</v>
      </c>
      <c r="D43" s="49">
        <v>200.48</v>
      </c>
      <c r="E43" s="136">
        <v>2.7</v>
      </c>
      <c r="F43" s="54">
        <v>1</v>
      </c>
      <c r="G43" s="129"/>
    </row>
    <row r="44" spans="2:7" ht="36.75" customHeight="1">
      <c r="B44" s="387"/>
      <c r="C44" s="128" t="s">
        <v>258</v>
      </c>
      <c r="D44" s="49">
        <v>1477.44</v>
      </c>
      <c r="E44" s="136">
        <v>2.7</v>
      </c>
      <c r="F44" s="54">
        <v>5</v>
      </c>
      <c r="G44" s="129"/>
    </row>
    <row r="45" spans="2:7" ht="36.75" customHeight="1">
      <c r="B45" s="387"/>
      <c r="C45" s="128" t="s">
        <v>259</v>
      </c>
      <c r="D45" s="49">
        <v>522.04999999999995</v>
      </c>
      <c r="E45" s="136">
        <v>2.7</v>
      </c>
      <c r="F45" s="54">
        <v>5</v>
      </c>
      <c r="G45" s="129"/>
    </row>
    <row r="46" spans="2:7" ht="36.75" customHeight="1">
      <c r="B46" s="387"/>
      <c r="C46" s="128" t="s">
        <v>259</v>
      </c>
      <c r="D46" s="49">
        <v>389.48</v>
      </c>
      <c r="E46" s="136">
        <v>9</v>
      </c>
      <c r="F46" s="54">
        <v>3</v>
      </c>
      <c r="G46" s="129"/>
    </row>
    <row r="47" spans="2:7" ht="36.75" customHeight="1">
      <c r="B47" s="387"/>
      <c r="C47" s="128" t="s">
        <v>260</v>
      </c>
      <c r="D47" s="49">
        <v>5196.8</v>
      </c>
      <c r="E47" s="136">
        <v>6.3</v>
      </c>
      <c r="F47" s="54">
        <v>6</v>
      </c>
      <c r="G47" s="129"/>
    </row>
    <row r="48" spans="2:7" ht="36.75" customHeight="1">
      <c r="B48" s="387"/>
      <c r="C48" s="128" t="s">
        <v>261</v>
      </c>
      <c r="D48" s="49">
        <v>1155.53</v>
      </c>
      <c r="E48" s="136">
        <v>4.7699999999999996</v>
      </c>
      <c r="F48" s="54">
        <v>3</v>
      </c>
      <c r="G48" s="129"/>
    </row>
    <row r="49" spans="2:7" ht="36.75" customHeight="1">
      <c r="B49" s="387"/>
      <c r="C49" s="128" t="s">
        <v>262</v>
      </c>
      <c r="D49" s="49">
        <v>846.73</v>
      </c>
      <c r="E49" s="136">
        <v>4.7699999999999996</v>
      </c>
      <c r="F49" s="54">
        <v>8</v>
      </c>
      <c r="G49" s="129"/>
    </row>
    <row r="50" spans="2:7" ht="62.25" customHeight="1">
      <c r="B50" s="387"/>
      <c r="C50" s="128" t="s">
        <v>263</v>
      </c>
      <c r="D50" s="49">
        <v>28.35</v>
      </c>
      <c r="E50" s="136">
        <v>2.7</v>
      </c>
      <c r="F50" s="54">
        <v>1</v>
      </c>
      <c r="G50" s="129"/>
    </row>
    <row r="51" spans="2:7" ht="36.75" customHeight="1">
      <c r="B51" s="387"/>
      <c r="C51" s="128" t="s">
        <v>264</v>
      </c>
      <c r="D51" s="49">
        <v>120.96</v>
      </c>
      <c r="E51" s="136">
        <v>2.7</v>
      </c>
      <c r="F51" s="54">
        <v>1</v>
      </c>
      <c r="G51" s="129"/>
    </row>
    <row r="52" spans="2:7" ht="36.75" customHeight="1">
      <c r="B52" s="387"/>
      <c r="C52" s="128" t="s">
        <v>264</v>
      </c>
      <c r="D52" s="49">
        <v>403.2</v>
      </c>
      <c r="E52" s="136">
        <v>9</v>
      </c>
      <c r="F52" s="54">
        <v>1</v>
      </c>
      <c r="G52" s="129"/>
    </row>
    <row r="53" spans="2:7" ht="36.75" customHeight="1">
      <c r="B53" s="387"/>
      <c r="C53" s="128" t="s">
        <v>265</v>
      </c>
      <c r="D53" s="49">
        <v>120.96</v>
      </c>
      <c r="E53" s="136">
        <v>2.7</v>
      </c>
      <c r="F53" s="54">
        <v>1</v>
      </c>
      <c r="G53" s="129"/>
    </row>
    <row r="54" spans="2:7" ht="36.75" customHeight="1">
      <c r="B54" s="387"/>
      <c r="C54" s="128" t="s">
        <v>265</v>
      </c>
      <c r="D54" s="49">
        <v>201.6</v>
      </c>
      <c r="E54" s="136">
        <v>9</v>
      </c>
      <c r="F54" s="54">
        <v>1</v>
      </c>
      <c r="G54" s="129"/>
    </row>
    <row r="55" spans="2:7" ht="36.75" customHeight="1">
      <c r="B55" s="387"/>
      <c r="C55" s="128" t="s">
        <v>266</v>
      </c>
      <c r="D55" s="49">
        <v>56.7</v>
      </c>
      <c r="E55" s="136">
        <v>2.7</v>
      </c>
      <c r="F55" s="54">
        <v>1</v>
      </c>
      <c r="G55" s="129"/>
    </row>
    <row r="56" spans="2:7" ht="36.75" customHeight="1">
      <c r="B56" s="387"/>
      <c r="C56" s="128" t="s">
        <v>267</v>
      </c>
      <c r="D56" s="49">
        <v>1799.24</v>
      </c>
      <c r="E56" s="136">
        <v>4.7699999999999996</v>
      </c>
      <c r="F56" s="54">
        <v>3</v>
      </c>
      <c r="G56" s="129"/>
    </row>
    <row r="57" spans="2:7" ht="36.75" customHeight="1">
      <c r="B57" s="387"/>
      <c r="C57" s="128" t="s">
        <v>268</v>
      </c>
      <c r="D57" s="49">
        <v>233.58</v>
      </c>
      <c r="E57" s="136">
        <v>2.7</v>
      </c>
      <c r="F57" s="54">
        <v>2</v>
      </c>
      <c r="G57" s="129"/>
    </row>
    <row r="58" spans="2:7" ht="36.75" customHeight="1">
      <c r="B58" s="387"/>
      <c r="C58" s="128" t="s">
        <v>269</v>
      </c>
      <c r="D58" s="49">
        <v>1652.81</v>
      </c>
      <c r="E58" s="136">
        <v>4.7699999999999996</v>
      </c>
      <c r="F58" s="54">
        <v>2</v>
      </c>
      <c r="G58" s="129"/>
    </row>
    <row r="59" spans="2:7" ht="36.75" customHeight="1">
      <c r="B59" s="387"/>
      <c r="C59" s="128" t="s">
        <v>270</v>
      </c>
      <c r="D59" s="49">
        <v>1762.99</v>
      </c>
      <c r="E59" s="136">
        <v>4.7699999999999996</v>
      </c>
      <c r="F59" s="54">
        <v>3</v>
      </c>
      <c r="G59" s="129"/>
    </row>
    <row r="60" spans="2:7" ht="36.75" customHeight="1">
      <c r="B60" s="387"/>
      <c r="C60" s="128" t="s">
        <v>271</v>
      </c>
      <c r="D60" s="49">
        <v>1005.52</v>
      </c>
      <c r="E60" s="136">
        <v>4.7699999999999996</v>
      </c>
      <c r="F60" s="54">
        <v>2</v>
      </c>
      <c r="G60" s="129"/>
    </row>
    <row r="61" spans="2:7" ht="36.75" customHeight="1">
      <c r="B61" s="387"/>
      <c r="C61" s="128" t="s">
        <v>272</v>
      </c>
      <c r="D61" s="49">
        <v>155.72</v>
      </c>
      <c r="E61" s="136">
        <v>2.7</v>
      </c>
      <c r="F61" s="54">
        <v>2</v>
      </c>
      <c r="G61" s="129"/>
    </row>
    <row r="62" spans="2:7" ht="36.75" customHeight="1">
      <c r="B62" s="387"/>
      <c r="C62" s="128" t="s">
        <v>273</v>
      </c>
      <c r="D62" s="49">
        <v>1147.8399999999999</v>
      </c>
      <c r="E62" s="136">
        <v>2.7</v>
      </c>
      <c r="F62" s="54">
        <v>1</v>
      </c>
      <c r="G62" s="129"/>
    </row>
    <row r="63" spans="2:7" ht="36.75" customHeight="1">
      <c r="B63" s="387"/>
      <c r="C63" s="128" t="s">
        <v>274</v>
      </c>
      <c r="D63" s="49">
        <v>212.5</v>
      </c>
      <c r="E63" s="136">
        <v>2.7</v>
      </c>
      <c r="F63" s="54">
        <v>1</v>
      </c>
      <c r="G63" s="129"/>
    </row>
    <row r="64" spans="2:7" ht="36.75" customHeight="1">
      <c r="B64" s="387"/>
      <c r="C64" s="128" t="s">
        <v>275</v>
      </c>
      <c r="D64" s="49">
        <v>563.26</v>
      </c>
      <c r="E64" s="136">
        <v>2.7</v>
      </c>
      <c r="F64" s="54">
        <v>2</v>
      </c>
      <c r="G64" s="129"/>
    </row>
    <row r="65" spans="1:10" ht="36.75" customHeight="1">
      <c r="B65" s="387"/>
      <c r="C65" s="128" t="s">
        <v>276</v>
      </c>
      <c r="D65" s="49">
        <v>993.36</v>
      </c>
      <c r="E65" s="136">
        <v>4.7699999999999996</v>
      </c>
      <c r="F65" s="54">
        <v>4</v>
      </c>
      <c r="G65" s="129"/>
    </row>
    <row r="66" spans="1:10" ht="36.75" customHeight="1">
      <c r="B66" s="387"/>
      <c r="C66" s="128" t="s">
        <v>277</v>
      </c>
      <c r="D66" s="49">
        <v>292.14</v>
      </c>
      <c r="E66" s="136">
        <v>2.7</v>
      </c>
      <c r="F66" s="54">
        <v>3</v>
      </c>
      <c r="G66" s="129"/>
    </row>
    <row r="67" spans="1:10" ht="36.75" customHeight="1">
      <c r="B67" s="387"/>
      <c r="C67" s="128" t="s">
        <v>278</v>
      </c>
      <c r="D67" s="49">
        <v>292.14</v>
      </c>
      <c r="E67" s="136">
        <v>2.7</v>
      </c>
      <c r="F67" s="54">
        <v>3</v>
      </c>
      <c r="G67" s="129"/>
    </row>
    <row r="68" spans="1:10" ht="36.75" customHeight="1">
      <c r="B68" s="387"/>
      <c r="C68" s="128" t="s">
        <v>279</v>
      </c>
      <c r="D68" s="49">
        <v>320.54000000000002</v>
      </c>
      <c r="E68" s="136">
        <v>4.7699999999999996</v>
      </c>
      <c r="F68" s="54">
        <v>2</v>
      </c>
      <c r="G68" s="129"/>
    </row>
    <row r="69" spans="1:10" ht="36.75" customHeight="1">
      <c r="B69" s="387"/>
      <c r="C69" s="128" t="s">
        <v>280</v>
      </c>
      <c r="D69" s="49">
        <v>295.26</v>
      </c>
      <c r="E69" s="136">
        <v>2.7</v>
      </c>
      <c r="F69" s="54">
        <v>2</v>
      </c>
      <c r="G69" s="129"/>
    </row>
    <row r="70" spans="1:10" ht="36.75" customHeight="1">
      <c r="B70" s="7"/>
      <c r="C70" s="128" t="s">
        <v>281</v>
      </c>
      <c r="D70" s="49">
        <v>283.33999999999997</v>
      </c>
      <c r="E70" s="136">
        <v>2.7</v>
      </c>
      <c r="F70" s="54">
        <v>1</v>
      </c>
      <c r="G70" s="129"/>
    </row>
    <row r="71" spans="1:10" ht="36.75" customHeight="1">
      <c r="B71" s="7"/>
      <c r="C71" s="128" t="s">
        <v>282</v>
      </c>
      <c r="D71" s="49">
        <v>118.06</v>
      </c>
      <c r="E71" s="136">
        <v>2.7</v>
      </c>
      <c r="F71" s="54">
        <v>1</v>
      </c>
      <c r="G71" s="129"/>
    </row>
    <row r="72" spans="1:10" ht="25.5" customHeight="1">
      <c r="B72" s="124" t="s">
        <v>33</v>
      </c>
      <c r="C72" s="7"/>
      <c r="D72" s="131">
        <f>SUM(D8:D71)</f>
        <v>53041.799999999988</v>
      </c>
      <c r="E72" s="131">
        <f>SUM(E8:E71)</f>
        <v>257.54999999999984</v>
      </c>
      <c r="F72" s="138">
        <f>SUM(F8:F71)</f>
        <v>215</v>
      </c>
      <c r="G72" s="16"/>
    </row>
    <row r="73" spans="1:10" ht="45.75" customHeight="1">
      <c r="B73" s="387" t="s">
        <v>34</v>
      </c>
      <c r="C73" s="128" t="s">
        <v>283</v>
      </c>
      <c r="D73" s="49">
        <v>443.8</v>
      </c>
      <c r="E73" s="136">
        <v>25</v>
      </c>
      <c r="F73" s="58">
        <v>11</v>
      </c>
      <c r="G73" s="133" t="s">
        <v>284</v>
      </c>
    </row>
    <row r="74" spans="1:10" ht="45.75" customHeight="1">
      <c r="B74" s="387"/>
      <c r="C74" s="7" t="s">
        <v>285</v>
      </c>
      <c r="D74" s="49">
        <v>6.2</v>
      </c>
      <c r="E74" s="136">
        <v>6.2</v>
      </c>
      <c r="F74" s="58">
        <v>1</v>
      </c>
      <c r="G74" s="133" t="s">
        <v>286</v>
      </c>
      <c r="H74" s="14"/>
      <c r="I74" s="14"/>
      <c r="J74" s="14"/>
    </row>
    <row r="75" spans="1:10" ht="43.5" customHeight="1">
      <c r="B75" s="7"/>
      <c r="C75" s="7" t="s">
        <v>287</v>
      </c>
      <c r="D75" s="49">
        <v>60.6</v>
      </c>
      <c r="E75" s="136">
        <v>25</v>
      </c>
      <c r="F75" s="58">
        <v>1</v>
      </c>
      <c r="G75" s="133" t="s">
        <v>288</v>
      </c>
      <c r="H75" s="14"/>
      <c r="I75" s="14"/>
      <c r="J75" s="14"/>
    </row>
    <row r="76" spans="1:10" ht="25.5" customHeight="1">
      <c r="B76" s="15" t="s">
        <v>33</v>
      </c>
      <c r="C76" s="15"/>
      <c r="D76" s="131">
        <f>SUM(D73:D75)</f>
        <v>510.6</v>
      </c>
      <c r="E76" s="131">
        <f>SUM(E73:E75)</f>
        <v>56.2</v>
      </c>
      <c r="F76" s="132">
        <f>SUM(F73:F75)</f>
        <v>13</v>
      </c>
      <c r="G76" s="16"/>
      <c r="H76" s="14"/>
      <c r="I76" s="14"/>
      <c r="J76" s="14"/>
    </row>
    <row r="77" spans="1:10" ht="31.5" customHeight="1">
      <c r="B77" s="388" t="s">
        <v>61</v>
      </c>
      <c r="C77" s="388"/>
      <c r="D77" s="388"/>
      <c r="E77" s="388"/>
      <c r="F77" s="388"/>
      <c r="G77" s="389"/>
    </row>
    <row r="78" spans="1:10" ht="53.25" customHeight="1">
      <c r="A78" s="17"/>
      <c r="B78" s="4" t="s">
        <v>4</v>
      </c>
      <c r="C78" s="4" t="s">
        <v>62</v>
      </c>
      <c r="D78" s="4" t="s">
        <v>6</v>
      </c>
      <c r="E78" s="4" t="s">
        <v>63</v>
      </c>
      <c r="F78" s="4" t="s">
        <v>8</v>
      </c>
      <c r="G78" s="5" t="s">
        <v>64</v>
      </c>
    </row>
    <row r="79" spans="1:10" ht="33" customHeight="1">
      <c r="B79" s="18" t="s">
        <v>65</v>
      </c>
      <c r="C79" s="19"/>
      <c r="D79" s="49">
        <v>0</v>
      </c>
      <c r="E79" s="49">
        <v>0</v>
      </c>
      <c r="F79" s="20">
        <v>0</v>
      </c>
      <c r="G79" s="80" t="s">
        <v>77</v>
      </c>
    </row>
    <row r="80" spans="1:10" ht="24.75" customHeight="1">
      <c r="B80" s="28" t="s">
        <v>33</v>
      </c>
      <c r="C80" s="29"/>
      <c r="D80" s="51">
        <f>SUM(D79)</f>
        <v>0</v>
      </c>
      <c r="E80" s="51">
        <f>SUM(E79)</f>
        <v>0</v>
      </c>
      <c r="F80" s="82">
        <f>SUM(F79)</f>
        <v>0</v>
      </c>
      <c r="G80" s="21"/>
    </row>
    <row r="81" spans="2:7" ht="28.5" customHeight="1">
      <c r="B81" s="18" t="s">
        <v>136</v>
      </c>
      <c r="C81" s="134" t="s">
        <v>289</v>
      </c>
      <c r="D81" s="49">
        <v>2529</v>
      </c>
      <c r="E81" s="49">
        <v>2763</v>
      </c>
      <c r="F81" s="20">
        <v>56</v>
      </c>
      <c r="G81" s="21"/>
    </row>
    <row r="82" spans="2:7" ht="29.25" customHeight="1">
      <c r="B82" s="28" t="s">
        <v>33</v>
      </c>
      <c r="C82" s="29"/>
      <c r="D82" s="51">
        <f>SUM(D81)</f>
        <v>2529</v>
      </c>
      <c r="E82" s="51">
        <f>SUM(E81)</f>
        <v>2763</v>
      </c>
      <c r="F82" s="139">
        <f>SUM(F81)</f>
        <v>56</v>
      </c>
      <c r="G82" s="21"/>
    </row>
    <row r="83" spans="2:7" ht="24" customHeight="1">
      <c r="B83" s="18" t="s">
        <v>70</v>
      </c>
      <c r="C83" s="19"/>
      <c r="D83" s="49">
        <v>0</v>
      </c>
      <c r="E83" s="49">
        <v>0</v>
      </c>
      <c r="F83" s="20">
        <v>0</v>
      </c>
      <c r="G83" s="80" t="s">
        <v>77</v>
      </c>
    </row>
    <row r="84" spans="2:7" ht="27" customHeight="1">
      <c r="B84" s="28" t="s">
        <v>33</v>
      </c>
      <c r="C84" s="29"/>
      <c r="D84" s="51">
        <f>SUM(D83)</f>
        <v>0</v>
      </c>
      <c r="E84" s="51">
        <f>SUM(E83)</f>
        <v>0</v>
      </c>
      <c r="F84" s="139">
        <f>SUM(F83)</f>
        <v>0</v>
      </c>
      <c r="G84" s="21"/>
    </row>
    <row r="85" spans="2:7" ht="33">
      <c r="B85" s="18" t="s">
        <v>73</v>
      </c>
      <c r="C85" s="134" t="s">
        <v>290</v>
      </c>
      <c r="D85" s="137">
        <v>32470</v>
      </c>
      <c r="E85" s="49">
        <v>23450.14</v>
      </c>
      <c r="F85" s="54">
        <v>1</v>
      </c>
      <c r="G85" s="135" t="s">
        <v>291</v>
      </c>
    </row>
    <row r="86" spans="2:7" ht="16.5" customHeight="1">
      <c r="B86" s="28" t="s">
        <v>33</v>
      </c>
      <c r="C86" s="29"/>
      <c r="D86" s="131">
        <f>SUM(D85)</f>
        <v>32470</v>
      </c>
      <c r="E86" s="51">
        <f>SUM(E85)</f>
        <v>23450.14</v>
      </c>
      <c r="F86" s="139">
        <f>SUM(F85)</f>
        <v>1</v>
      </c>
      <c r="G86" s="21"/>
    </row>
    <row r="87" spans="2:7" ht="30.75" customHeight="1">
      <c r="B87" s="18" t="s">
        <v>74</v>
      </c>
      <c r="C87" s="31"/>
      <c r="D87" s="49">
        <v>0</v>
      </c>
      <c r="E87" s="49">
        <v>0</v>
      </c>
      <c r="F87" s="20">
        <v>0</v>
      </c>
      <c r="G87" s="80" t="s">
        <v>77</v>
      </c>
    </row>
    <row r="88" spans="2:7" ht="15.6">
      <c r="B88" s="28" t="s">
        <v>33</v>
      </c>
      <c r="C88" s="29"/>
      <c r="D88" s="51">
        <f>SUM(D87)</f>
        <v>0</v>
      </c>
      <c r="E88" s="51">
        <f>SUM(E87)</f>
        <v>0</v>
      </c>
      <c r="F88" s="139">
        <f>SUM(F87)</f>
        <v>0</v>
      </c>
      <c r="G88" s="21"/>
    </row>
    <row r="89" spans="2:7" ht="17.25" customHeight="1">
      <c r="B89" s="386"/>
      <c r="C89" s="386"/>
      <c r="D89" s="386"/>
      <c r="E89" s="386"/>
      <c r="F89" s="386"/>
      <c r="G89" s="386"/>
    </row>
    <row r="90" spans="2:7" ht="33" customHeight="1">
      <c r="B90" s="15" t="s">
        <v>75</v>
      </c>
      <c r="C90" s="29"/>
      <c r="D90" s="109">
        <f>D72+D76+D80+D82+D84+D86+D88</f>
        <v>88551.4</v>
      </c>
      <c r="E90" s="109">
        <f>E72+E76+E80+E82+E84+E86+E88</f>
        <v>26526.89</v>
      </c>
      <c r="F90" s="114">
        <f>F72+F76+F80+F82+F84+F86+F88</f>
        <v>285</v>
      </c>
      <c r="G90" s="21"/>
    </row>
    <row r="91" spans="2:7">
      <c r="B91" s="33"/>
      <c r="C91" s="34"/>
      <c r="D91" s="34"/>
      <c r="E91" s="34"/>
      <c r="F91" s="34"/>
    </row>
    <row r="92" spans="2:7">
      <c r="B92" s="35" t="s">
        <v>78</v>
      </c>
    </row>
    <row r="93" spans="2:7">
      <c r="B93" s="35"/>
    </row>
    <row r="94" spans="2:7">
      <c r="B94" s="36" t="s">
        <v>214</v>
      </c>
    </row>
    <row r="95" spans="2:7">
      <c r="B95" s="36" t="s">
        <v>292</v>
      </c>
    </row>
    <row r="96" spans="2:7">
      <c r="B96" s="36" t="s">
        <v>293</v>
      </c>
    </row>
    <row r="97" spans="2:4">
      <c r="B97" s="37"/>
    </row>
    <row r="98" spans="2:4">
      <c r="B98" t="s">
        <v>76</v>
      </c>
    </row>
    <row r="99" spans="2:4">
      <c r="B99" s="343"/>
      <c r="C99" s="343"/>
      <c r="D99" s="343"/>
    </row>
    <row r="100" spans="2:4">
      <c r="B100" t="s">
        <v>79</v>
      </c>
    </row>
    <row r="101" spans="2:4" ht="15.75" customHeight="1"/>
  </sheetData>
  <mergeCells count="8">
    <mergeCell ref="B89:G89"/>
    <mergeCell ref="B99:D99"/>
    <mergeCell ref="B4:G4"/>
    <mergeCell ref="B5:G5"/>
    <mergeCell ref="B6:G6"/>
    <mergeCell ref="B8:B69"/>
    <mergeCell ref="B73:B74"/>
    <mergeCell ref="B77:G7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18BE0-618D-4953-A775-675EDFD233ED}">
  <dimension ref="A1:J110"/>
  <sheetViews>
    <sheetView topLeftCell="A91" workbookViewId="0">
      <selection activeCell="D96" sqref="D96"/>
    </sheetView>
  </sheetViews>
  <sheetFormatPr defaultColWidth="9.44140625" defaultRowHeight="14.4"/>
  <cols>
    <col min="1" max="1" width="3.44140625" customWidth="1"/>
    <col min="2" max="2" width="45.44140625" customWidth="1"/>
    <col min="3" max="3" width="32.6640625" customWidth="1"/>
    <col min="4" max="4" width="16.5546875" customWidth="1"/>
    <col min="5" max="5" width="24.5546875" customWidth="1"/>
    <col min="6" max="6" width="15.44140625" customWidth="1"/>
    <col min="7" max="7" width="34.44140625" customWidth="1"/>
  </cols>
  <sheetData>
    <row r="1" spans="2:7" ht="30" customHeight="1">
      <c r="B1" s="1" t="s">
        <v>0</v>
      </c>
    </row>
    <row r="2" spans="2:7" ht="25.5" customHeight="1">
      <c r="B2" s="1" t="s">
        <v>1</v>
      </c>
      <c r="D2" s="2"/>
      <c r="E2" s="2"/>
    </row>
    <row r="3" spans="2:7" ht="12.75" customHeight="1">
      <c r="B3" s="1"/>
      <c r="D3" s="2"/>
      <c r="E3" s="2"/>
    </row>
    <row r="4" spans="2:7" ht="32.25" customHeight="1">
      <c r="B4" s="363" t="s">
        <v>332</v>
      </c>
      <c r="C4" s="363"/>
      <c r="D4" s="363"/>
      <c r="E4" s="363"/>
      <c r="F4" s="363"/>
      <c r="G4" s="363"/>
    </row>
    <row r="5" spans="2:7" ht="31.5" customHeight="1">
      <c r="B5" s="363" t="s">
        <v>294</v>
      </c>
      <c r="C5" s="363"/>
      <c r="D5" s="363"/>
      <c r="E5" s="363"/>
      <c r="F5" s="363"/>
      <c r="G5" s="363"/>
    </row>
    <row r="6" spans="2:7" ht="26.25" customHeight="1">
      <c r="B6" s="364" t="s">
        <v>3</v>
      </c>
      <c r="C6" s="364"/>
      <c r="D6" s="364"/>
      <c r="E6" s="364"/>
      <c r="F6" s="364"/>
      <c r="G6" s="364"/>
    </row>
    <row r="7" spans="2:7" ht="60.75" customHeight="1" thickBot="1">
      <c r="B7" s="3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5" t="s">
        <v>9</v>
      </c>
    </row>
    <row r="8" spans="2:7" ht="34.5" customHeight="1" thickBot="1">
      <c r="B8" s="400" t="s">
        <v>83</v>
      </c>
      <c r="C8" s="390" t="s">
        <v>295</v>
      </c>
      <c r="D8" s="174">
        <f>527.4+192.15+390.6+135.9+116.55+899.74+184.05+368.4+145.98+108.9</f>
        <v>3069.6700000000005</v>
      </c>
      <c r="E8" s="174">
        <v>4.5</v>
      </c>
      <c r="F8" s="140">
        <v>5</v>
      </c>
      <c r="G8" s="141"/>
    </row>
    <row r="9" spans="2:7" ht="34.5" customHeight="1">
      <c r="B9" s="400"/>
      <c r="C9" s="399"/>
      <c r="D9" s="175">
        <f>619.92+80.64+129.6+259.2</f>
        <v>1089.3599999999999</v>
      </c>
      <c r="E9" s="175">
        <v>4.8</v>
      </c>
      <c r="F9" s="142">
        <v>4</v>
      </c>
      <c r="G9" s="141"/>
    </row>
    <row r="10" spans="2:7" ht="33.75" customHeight="1" thickBot="1">
      <c r="B10" s="400"/>
      <c r="C10" s="391"/>
      <c r="D10" s="176">
        <v>0</v>
      </c>
      <c r="E10" s="177">
        <v>1.7999999999999998</v>
      </c>
      <c r="F10" s="143">
        <v>0</v>
      </c>
      <c r="G10" s="80" t="s">
        <v>77</v>
      </c>
    </row>
    <row r="11" spans="2:7" ht="45.75" customHeight="1">
      <c r="B11" s="400"/>
      <c r="C11" s="390" t="s">
        <v>296</v>
      </c>
      <c r="D11" s="178">
        <f>60.75+422.1+1159.2+141.75+1348.2+171+398.52+1085.52+135.54+1253.52+66.12</f>
        <v>6242.22</v>
      </c>
      <c r="E11" s="174">
        <v>4.5</v>
      </c>
      <c r="F11" s="145">
        <v>6</v>
      </c>
      <c r="G11" s="141"/>
    </row>
    <row r="12" spans="2:7" ht="45.75" customHeight="1" thickBot="1">
      <c r="B12" s="400"/>
      <c r="C12" s="391"/>
      <c r="D12" s="179">
        <f>255.6+1006.2+201.6+190.08+144.54+146.88</f>
        <v>1944.8999999999996</v>
      </c>
      <c r="E12" s="180">
        <v>4.8</v>
      </c>
      <c r="F12" s="146">
        <v>6</v>
      </c>
      <c r="G12" s="147"/>
    </row>
    <row r="13" spans="2:7" ht="32.25" customHeight="1">
      <c r="B13" s="400"/>
      <c r="C13" s="390" t="s">
        <v>297</v>
      </c>
      <c r="D13" s="178">
        <f>527.1+63+322.72</f>
        <v>912.82</v>
      </c>
      <c r="E13" s="174">
        <v>3</v>
      </c>
      <c r="F13" s="145">
        <v>2</v>
      </c>
      <c r="G13" s="141"/>
    </row>
    <row r="14" spans="2:7" ht="33" customHeight="1" thickBot="1">
      <c r="B14" s="400"/>
      <c r="C14" s="391"/>
      <c r="D14" s="179">
        <f>364.32</f>
        <v>364.32</v>
      </c>
      <c r="E14" s="181">
        <v>3.3</v>
      </c>
      <c r="F14" s="146">
        <v>1</v>
      </c>
      <c r="G14" s="147"/>
    </row>
    <row r="15" spans="2:7" ht="35.25" customHeight="1" thickBot="1">
      <c r="B15" s="400"/>
      <c r="C15" s="398" t="s">
        <v>298</v>
      </c>
      <c r="D15" s="178">
        <f>420+330.75+441+54+13.87+182.7+201.9+269.2+12.96+59.55+176.12+264</f>
        <v>2426.0500000000002</v>
      </c>
      <c r="E15" s="174">
        <v>3</v>
      </c>
      <c r="F15" s="145">
        <v>6</v>
      </c>
      <c r="G15" s="141"/>
    </row>
    <row r="16" spans="2:7" ht="35.25" customHeight="1" thickBot="1">
      <c r="B16" s="400"/>
      <c r="C16" s="398"/>
      <c r="D16" s="182">
        <f>365.41+231.66+204.93+43.31+67.32</f>
        <v>912.62999999999988</v>
      </c>
      <c r="E16" s="175">
        <v>3.3</v>
      </c>
      <c r="F16" s="148">
        <v>5</v>
      </c>
      <c r="G16" s="147"/>
    </row>
    <row r="17" spans="2:7" ht="37.5" customHeight="1" thickBot="1">
      <c r="B17" s="400"/>
      <c r="C17" s="398"/>
      <c r="D17" s="183">
        <f>259.56+171.36+101.22+66.36</f>
        <v>598.5</v>
      </c>
      <c r="E17" s="184">
        <v>1.7999999999999998</v>
      </c>
      <c r="F17" s="149">
        <v>2</v>
      </c>
      <c r="G17" s="150"/>
    </row>
    <row r="18" spans="2:7" ht="37.5" customHeight="1" thickBot="1">
      <c r="B18" s="400"/>
      <c r="C18" s="398"/>
      <c r="D18" s="179">
        <f>223.65+61.74+17.64</f>
        <v>303.02999999999997</v>
      </c>
      <c r="E18" s="180">
        <v>2.1</v>
      </c>
      <c r="F18" s="146">
        <v>3</v>
      </c>
      <c r="G18" s="151"/>
    </row>
    <row r="19" spans="2:7" ht="33" customHeight="1" thickBot="1">
      <c r="B19" s="400"/>
      <c r="C19" s="398" t="s">
        <v>299</v>
      </c>
      <c r="D19" s="178">
        <f>76.13+65.1+107.1+155.4+195.45+36.72</f>
        <v>635.90000000000009</v>
      </c>
      <c r="E19" s="174">
        <v>3</v>
      </c>
      <c r="F19" s="145">
        <v>4</v>
      </c>
      <c r="G19" s="141"/>
    </row>
    <row r="20" spans="2:7" ht="32.25" customHeight="1" thickBot="1">
      <c r="B20" s="400"/>
      <c r="C20" s="398"/>
      <c r="D20" s="185">
        <f>30.69+39.6+100.98+43.07</f>
        <v>214.34</v>
      </c>
      <c r="E20" s="181">
        <v>3.3</v>
      </c>
      <c r="F20" s="152">
        <v>4</v>
      </c>
      <c r="G20" s="147"/>
    </row>
    <row r="21" spans="2:7" ht="31.5" customHeight="1" thickBot="1">
      <c r="B21" s="400"/>
      <c r="C21" s="398"/>
      <c r="D21" s="183">
        <f>195.3+24.53</f>
        <v>219.83</v>
      </c>
      <c r="E21" s="184">
        <v>6</v>
      </c>
      <c r="F21" s="149">
        <v>1</v>
      </c>
      <c r="G21" s="153"/>
    </row>
    <row r="22" spans="2:7" ht="15" thickBot="1">
      <c r="B22" s="400"/>
      <c r="C22" s="390"/>
      <c r="D22" s="186">
        <f>39.06+39.06+31.94</f>
        <v>110.06</v>
      </c>
      <c r="E22" s="187">
        <v>1.7999999999999998</v>
      </c>
      <c r="F22" s="154">
        <v>2</v>
      </c>
      <c r="G22" s="155"/>
    </row>
    <row r="23" spans="2:7" ht="45.75" customHeight="1" thickBot="1">
      <c r="B23" s="400"/>
      <c r="C23" s="401" t="s">
        <v>300</v>
      </c>
      <c r="D23" s="178">
        <f>50.4+79.38+52.92+37.8+20.3+31.83+13.32+16.08</f>
        <v>302.02999999999997</v>
      </c>
      <c r="E23" s="174">
        <v>1.7999999999999998</v>
      </c>
      <c r="F23" s="145">
        <v>4</v>
      </c>
      <c r="G23" s="141"/>
    </row>
    <row r="24" spans="2:7" ht="45.75" customHeight="1">
      <c r="B24" s="400"/>
      <c r="C24" s="402"/>
      <c r="D24" s="182">
        <f>40.84+94.05</f>
        <v>134.88999999999999</v>
      </c>
      <c r="E24" s="175">
        <v>2.1</v>
      </c>
      <c r="F24" s="148">
        <v>2</v>
      </c>
      <c r="G24" s="141"/>
    </row>
    <row r="25" spans="2:7" ht="38.25" customHeight="1" thickBot="1">
      <c r="B25" s="400"/>
      <c r="C25" s="403"/>
      <c r="D25" s="176">
        <v>720.72</v>
      </c>
      <c r="E25" s="177">
        <v>50</v>
      </c>
      <c r="F25" s="143">
        <v>1</v>
      </c>
      <c r="G25" s="144"/>
    </row>
    <row r="26" spans="2:7" ht="38.25" customHeight="1" thickBot="1">
      <c r="B26" s="400"/>
      <c r="C26" s="391" t="s">
        <v>301</v>
      </c>
      <c r="D26" s="178">
        <f>69.3+198.45+1318.8+121.8+103.32+239.4+84+343.74+68.04+610.16+58.74</f>
        <v>3215.7499999999991</v>
      </c>
      <c r="E26" s="174">
        <v>3</v>
      </c>
      <c r="F26" s="145">
        <v>7</v>
      </c>
      <c r="G26" s="141"/>
    </row>
    <row r="27" spans="2:7" ht="38.25" customHeight="1" thickBot="1">
      <c r="B27" s="400"/>
      <c r="C27" s="399"/>
      <c r="D27" s="182">
        <f>30.69+63.36+112.61+336.6+46.04+46.04</f>
        <v>635.33999999999992</v>
      </c>
      <c r="E27" s="175">
        <v>3.3</v>
      </c>
      <c r="F27" s="148">
        <v>6</v>
      </c>
      <c r="G27" s="141"/>
    </row>
    <row r="28" spans="2:7" ht="38.25" customHeight="1" thickBot="1">
      <c r="B28" s="400"/>
      <c r="C28" s="390"/>
      <c r="D28" s="186">
        <v>0</v>
      </c>
      <c r="E28" s="187">
        <v>1.7999999999999998</v>
      </c>
      <c r="F28" s="154">
        <v>0</v>
      </c>
      <c r="G28" s="80" t="s">
        <v>77</v>
      </c>
    </row>
    <row r="29" spans="2:7" ht="25.5" customHeight="1" thickBot="1">
      <c r="B29" s="400"/>
      <c r="C29" s="398" t="s">
        <v>302</v>
      </c>
      <c r="D29" s="178">
        <v>0</v>
      </c>
      <c r="E29" s="174">
        <v>3</v>
      </c>
      <c r="F29" s="145">
        <v>0</v>
      </c>
      <c r="G29" s="80" t="s">
        <v>77</v>
      </c>
    </row>
    <row r="30" spans="2:7" ht="25.5" customHeight="1" thickBot="1">
      <c r="B30" s="400"/>
      <c r="C30" s="398"/>
      <c r="D30" s="183">
        <v>923.64</v>
      </c>
      <c r="E30" s="184">
        <v>50</v>
      </c>
      <c r="F30" s="149">
        <v>1</v>
      </c>
      <c r="G30" s="150"/>
    </row>
    <row r="31" spans="2:7" ht="30.75" customHeight="1" thickBot="1">
      <c r="B31" s="400"/>
      <c r="C31" s="398"/>
      <c r="D31" s="185">
        <f>168+116.4+15.05+20.3</f>
        <v>319.75</v>
      </c>
      <c r="E31" s="181">
        <v>6</v>
      </c>
      <c r="F31" s="152">
        <v>2</v>
      </c>
      <c r="G31" s="156"/>
    </row>
    <row r="32" spans="2:7" ht="30.75" customHeight="1" thickBot="1">
      <c r="B32" s="400"/>
      <c r="C32" s="398"/>
      <c r="D32" s="183">
        <f>52.92+42.84+16.78+22.74</f>
        <v>135.28</v>
      </c>
      <c r="E32" s="184">
        <v>1.7999999999999998</v>
      </c>
      <c r="F32" s="149">
        <v>2</v>
      </c>
      <c r="G32" s="150"/>
    </row>
    <row r="33" spans="2:7" ht="32.25" customHeight="1" thickBot="1">
      <c r="B33" s="400"/>
      <c r="C33" s="398"/>
      <c r="D33" s="179">
        <f>25.7+81.38+28.35+198.45</f>
        <v>333.88</v>
      </c>
      <c r="E33" s="180">
        <v>2.1</v>
      </c>
      <c r="F33" s="146">
        <v>4</v>
      </c>
      <c r="G33" s="151"/>
    </row>
    <row r="34" spans="2:7" ht="34.5" customHeight="1">
      <c r="B34" s="400"/>
      <c r="C34" s="390" t="s">
        <v>303</v>
      </c>
      <c r="D34" s="178">
        <f>39+117.6</f>
        <v>156.6</v>
      </c>
      <c r="E34" s="174">
        <v>3</v>
      </c>
      <c r="F34" s="145">
        <v>1</v>
      </c>
      <c r="G34" s="141"/>
    </row>
    <row r="35" spans="2:7" ht="31.5" customHeight="1">
      <c r="B35" s="400"/>
      <c r="C35" s="399"/>
      <c r="D35" s="183">
        <v>16.239999999999998</v>
      </c>
      <c r="E35" s="184">
        <v>1.8</v>
      </c>
      <c r="F35" s="149">
        <v>1</v>
      </c>
      <c r="G35" s="150"/>
    </row>
    <row r="36" spans="2:7" ht="31.5" customHeight="1">
      <c r="B36" s="400"/>
      <c r="C36" s="399"/>
      <c r="D36" s="183">
        <f>31.19+75.24</f>
        <v>106.42999999999999</v>
      </c>
      <c r="E36" s="184">
        <v>2.1</v>
      </c>
      <c r="F36" s="149">
        <v>2</v>
      </c>
      <c r="G36" s="150"/>
    </row>
    <row r="37" spans="2:7" ht="31.5" customHeight="1" thickBot="1">
      <c r="B37" s="400"/>
      <c r="C37" s="391"/>
      <c r="D37" s="183">
        <v>75.239999999999995</v>
      </c>
      <c r="E37" s="184">
        <v>3.3</v>
      </c>
      <c r="F37" s="149">
        <v>1</v>
      </c>
      <c r="G37" s="150"/>
    </row>
    <row r="38" spans="2:7" ht="34.5" customHeight="1" thickBot="1">
      <c r="B38" s="400"/>
      <c r="C38" s="398" t="s">
        <v>304</v>
      </c>
      <c r="D38" s="178">
        <f>930.3+79.8+777.2</f>
        <v>1787.3</v>
      </c>
      <c r="E38" s="174">
        <v>3</v>
      </c>
      <c r="F38" s="145">
        <v>3</v>
      </c>
      <c r="G38" s="141"/>
    </row>
    <row r="39" spans="2:7" ht="34.5" customHeight="1" thickBot="1">
      <c r="B39" s="400"/>
      <c r="C39" s="398"/>
      <c r="D39" s="183">
        <f>130.68+35.28+18.27+311.85+403.43+343.04+24.42+382.14+45.05+34.65</f>
        <v>1728.8100000000002</v>
      </c>
      <c r="E39" s="175">
        <v>3.3</v>
      </c>
      <c r="F39" s="148">
        <v>10</v>
      </c>
      <c r="G39" s="141"/>
    </row>
    <row r="40" spans="2:7" ht="36.75" customHeight="1" thickBot="1">
      <c r="B40" s="400"/>
      <c r="C40" s="398"/>
      <c r="D40" s="185">
        <v>403.43</v>
      </c>
      <c r="E40" s="184">
        <v>1.7999999999999998</v>
      </c>
      <c r="F40" s="157">
        <v>3</v>
      </c>
      <c r="G40" s="150"/>
    </row>
    <row r="41" spans="2:7" ht="36.75" customHeight="1" thickBot="1">
      <c r="B41" s="400"/>
      <c r="C41" s="398"/>
      <c r="D41" s="185">
        <f>50.65+45.68</f>
        <v>96.33</v>
      </c>
      <c r="E41" s="184">
        <v>2.1</v>
      </c>
      <c r="F41" s="157">
        <v>2</v>
      </c>
      <c r="G41" s="150"/>
    </row>
    <row r="42" spans="2:7" ht="36.75" customHeight="1" thickBot="1">
      <c r="B42" s="400"/>
      <c r="C42" s="398"/>
      <c r="D42" s="185">
        <v>81.38</v>
      </c>
      <c r="E42" s="180">
        <v>7</v>
      </c>
      <c r="F42" s="158">
        <v>1</v>
      </c>
      <c r="G42" s="151"/>
    </row>
    <row r="43" spans="2:7" ht="63" customHeight="1">
      <c r="B43" s="400"/>
      <c r="C43" s="390" t="s">
        <v>305</v>
      </c>
      <c r="D43" s="178">
        <f>453.6+198.9+252+281.4+853.13+176.48</f>
        <v>2215.5100000000002</v>
      </c>
      <c r="E43" s="174">
        <v>3</v>
      </c>
      <c r="F43" s="145">
        <v>5</v>
      </c>
      <c r="G43" s="141"/>
    </row>
    <row r="44" spans="2:7" ht="63" customHeight="1" thickBot="1">
      <c r="B44" s="400"/>
      <c r="C44" s="391"/>
      <c r="D44" s="179">
        <f>379.17+92.07+49+138.6+270.27+46.04+550.44+199.74+64.35+16.34+47.52+26.24</f>
        <v>1879.78</v>
      </c>
      <c r="E44" s="180">
        <v>3.3</v>
      </c>
      <c r="F44" s="146">
        <v>12</v>
      </c>
      <c r="G44" s="151"/>
    </row>
    <row r="45" spans="2:7" ht="40.5" customHeight="1">
      <c r="B45" s="400"/>
      <c r="C45" s="390" t="s">
        <v>306</v>
      </c>
      <c r="D45" s="178">
        <f>292.95+191.25+1348.87+165.38+1275.75+589.05+3133.63+594.62</f>
        <v>7591.5</v>
      </c>
      <c r="E45" s="174">
        <v>4.5</v>
      </c>
      <c r="F45" s="145">
        <v>6</v>
      </c>
      <c r="G45" s="141"/>
    </row>
    <row r="46" spans="2:7" ht="41.25" customHeight="1" thickBot="1">
      <c r="B46" s="400"/>
      <c r="C46" s="391"/>
      <c r="D46" s="179">
        <f>551.52+149.76+943.92+440.64+86.4+46.08</f>
        <v>2218.3199999999997</v>
      </c>
      <c r="E46" s="180">
        <v>4.8</v>
      </c>
      <c r="F46" s="146">
        <v>6</v>
      </c>
      <c r="G46" s="147"/>
    </row>
    <row r="47" spans="2:7" ht="33.75" customHeight="1" thickBot="1">
      <c r="B47" s="400"/>
      <c r="C47" s="398" t="s">
        <v>307</v>
      </c>
      <c r="D47" s="188">
        <f>936.3+773.28</f>
        <v>1709.58</v>
      </c>
      <c r="E47" s="174">
        <v>3</v>
      </c>
      <c r="F47" s="145">
        <v>2</v>
      </c>
      <c r="G47" s="141"/>
    </row>
    <row r="48" spans="2:7" ht="33.75" customHeight="1" thickBot="1">
      <c r="B48" s="400"/>
      <c r="C48" s="398"/>
      <c r="D48" s="189">
        <f>28.71+147.02+59.4+344.03</f>
        <v>579.16</v>
      </c>
      <c r="E48" s="181">
        <v>3.3</v>
      </c>
      <c r="F48" s="152">
        <v>4</v>
      </c>
      <c r="G48" s="141"/>
    </row>
    <row r="49" spans="2:7" ht="39.75" customHeight="1" thickBot="1">
      <c r="B49" s="400"/>
      <c r="C49" s="398"/>
      <c r="D49" s="183">
        <f>65.52+52.92+40.32+51.41+16.24</f>
        <v>226.41</v>
      </c>
      <c r="E49" s="184">
        <v>1.7999999999999998</v>
      </c>
      <c r="F49" s="149">
        <v>3</v>
      </c>
      <c r="G49" s="150"/>
    </row>
    <row r="50" spans="2:7" ht="39.75" customHeight="1" thickBot="1">
      <c r="B50" s="400"/>
      <c r="C50" s="398"/>
      <c r="D50" s="179">
        <f>27.41+57.65</f>
        <v>85.06</v>
      </c>
      <c r="E50" s="180">
        <v>2.1</v>
      </c>
      <c r="F50" s="146">
        <v>2</v>
      </c>
      <c r="G50" s="151"/>
    </row>
    <row r="51" spans="2:7" ht="50.25" customHeight="1">
      <c r="B51" s="400"/>
      <c r="C51" s="390" t="s">
        <v>308</v>
      </c>
      <c r="D51" s="178">
        <f>37.8+169.2+22.68+82.82+9.8</f>
        <v>322.3</v>
      </c>
      <c r="E51" s="174">
        <v>1.7999999999999998</v>
      </c>
      <c r="F51" s="145">
        <v>3</v>
      </c>
      <c r="G51" s="141"/>
    </row>
    <row r="52" spans="2:7" ht="50.25" customHeight="1" thickBot="1">
      <c r="B52" s="400"/>
      <c r="C52" s="391"/>
      <c r="D52" s="182">
        <f>17.64+88.2+24.95+43.47+127.05+39.33+140.7+43.55+243.6+75.4+226.8+70.2</f>
        <v>1140.8900000000001</v>
      </c>
      <c r="E52" s="175">
        <v>2.1</v>
      </c>
      <c r="F52" s="148">
        <v>8</v>
      </c>
      <c r="G52" s="159"/>
    </row>
    <row r="53" spans="2:7" ht="31.5" customHeight="1" thickBot="1">
      <c r="B53" s="400"/>
      <c r="C53" s="398" t="s">
        <v>309</v>
      </c>
      <c r="D53" s="178">
        <f>71.4+173.25+65.1+277.2+126+90.3+65.1+36+177.04+81.2+60.21+8.64+45.48+109.4+41.32+42.32</f>
        <v>1469.9600000000003</v>
      </c>
      <c r="E53" s="174">
        <v>3</v>
      </c>
      <c r="F53" s="145">
        <v>8</v>
      </c>
      <c r="G53" s="141"/>
    </row>
    <row r="54" spans="2:7" ht="32.25" customHeight="1" thickBot="1">
      <c r="B54" s="400"/>
      <c r="C54" s="398"/>
      <c r="D54" s="185">
        <f>103.95+85.39+168.3+33+17.2+52.8+27.52</f>
        <v>488.15999999999997</v>
      </c>
      <c r="E54" s="181">
        <v>3.3</v>
      </c>
      <c r="F54" s="152">
        <v>5</v>
      </c>
      <c r="G54" s="147"/>
    </row>
    <row r="55" spans="2:7" ht="25.5" customHeight="1" thickBot="1">
      <c r="B55" s="400"/>
      <c r="C55" s="398"/>
      <c r="D55" s="183">
        <f>84+182.7+17.05+22.58</f>
        <v>306.33</v>
      </c>
      <c r="E55" s="184">
        <v>6</v>
      </c>
      <c r="F55" s="149">
        <v>2</v>
      </c>
      <c r="G55" s="153"/>
    </row>
    <row r="56" spans="2:7" ht="32.25" customHeight="1" thickBot="1">
      <c r="B56" s="400"/>
      <c r="C56" s="398"/>
      <c r="D56" s="183">
        <f>52.92+39.06+35.28+40.32+70.11</f>
        <v>237.69</v>
      </c>
      <c r="E56" s="184">
        <v>1.7999999999999998</v>
      </c>
      <c r="F56" s="149">
        <v>4</v>
      </c>
      <c r="G56" s="150"/>
    </row>
    <row r="57" spans="2:7" ht="33.75" customHeight="1" thickBot="1">
      <c r="B57" s="400"/>
      <c r="C57" s="398"/>
      <c r="D57" s="179">
        <f>25.7+19.53+25.2</f>
        <v>70.430000000000007</v>
      </c>
      <c r="E57" s="180">
        <v>2.1</v>
      </c>
      <c r="F57" s="146">
        <v>3</v>
      </c>
      <c r="G57" s="151"/>
    </row>
    <row r="58" spans="2:7" ht="29.25" customHeight="1">
      <c r="B58" s="400"/>
      <c r="C58" s="390" t="s">
        <v>310</v>
      </c>
      <c r="D58" s="174">
        <f>69.3+108.9+110.56</f>
        <v>288.76</v>
      </c>
      <c r="E58" s="174">
        <v>3</v>
      </c>
      <c r="F58" s="140">
        <v>2</v>
      </c>
      <c r="G58" s="141"/>
    </row>
    <row r="59" spans="2:7" ht="31.5" customHeight="1" thickBot="1">
      <c r="B59" s="400"/>
      <c r="C59" s="391"/>
      <c r="D59" s="180">
        <f>175.73+61.38+32.67+158.4+82.56+66+34.4+308.55+160.82</f>
        <v>1080.51</v>
      </c>
      <c r="E59" s="180">
        <v>3.3</v>
      </c>
      <c r="F59" s="160">
        <v>6</v>
      </c>
      <c r="G59" s="151"/>
    </row>
    <row r="60" spans="2:7" ht="30" customHeight="1">
      <c r="B60" s="400"/>
      <c r="C60" s="399" t="s">
        <v>311</v>
      </c>
      <c r="D60" s="178">
        <f>119.07+36+96.08+103.33</f>
        <v>354.47999999999996</v>
      </c>
      <c r="E60" s="174">
        <v>1.7999999999999998</v>
      </c>
      <c r="F60" s="145">
        <v>3</v>
      </c>
      <c r="G60" s="141"/>
    </row>
    <row r="61" spans="2:7" ht="26.25" customHeight="1">
      <c r="B61" s="400"/>
      <c r="C61" s="399"/>
      <c r="D61" s="183">
        <f>23.63+57.65+36.54</f>
        <v>117.82</v>
      </c>
      <c r="E61" s="184">
        <v>2.1</v>
      </c>
      <c r="F61" s="149">
        <v>3</v>
      </c>
      <c r="G61" s="150"/>
    </row>
    <row r="62" spans="2:7" ht="30" customHeight="1" thickBot="1">
      <c r="B62" s="400"/>
      <c r="C62" s="391"/>
      <c r="D62" s="179">
        <f>84+192.15</f>
        <v>276.14999999999998</v>
      </c>
      <c r="E62" s="180">
        <v>7</v>
      </c>
      <c r="F62" s="146">
        <v>2</v>
      </c>
      <c r="G62" s="151"/>
    </row>
    <row r="63" spans="2:7" ht="44.25" customHeight="1" thickBot="1">
      <c r="B63" s="400"/>
      <c r="C63" s="398" t="s">
        <v>312</v>
      </c>
      <c r="D63" s="178">
        <f>192.15+151.92</f>
        <v>344.07</v>
      </c>
      <c r="E63" s="174">
        <v>3</v>
      </c>
      <c r="F63" s="145">
        <v>2</v>
      </c>
      <c r="G63" s="141"/>
    </row>
    <row r="64" spans="2:7" ht="36" customHeight="1" thickBot="1">
      <c r="B64" s="400"/>
      <c r="C64" s="398"/>
      <c r="D64" s="185">
        <v>28.71</v>
      </c>
      <c r="E64" s="181">
        <v>3.3</v>
      </c>
      <c r="F64" s="152">
        <v>1</v>
      </c>
      <c r="G64" s="159"/>
    </row>
    <row r="65" spans="2:10" ht="33" customHeight="1" thickBot="1">
      <c r="B65" s="400"/>
      <c r="C65" s="398"/>
      <c r="D65" s="183">
        <f>256.2+31.67</f>
        <v>287.87</v>
      </c>
      <c r="E65" s="184">
        <v>6</v>
      </c>
      <c r="F65" s="149">
        <v>1</v>
      </c>
      <c r="G65" s="161"/>
    </row>
    <row r="66" spans="2:10" ht="33" customHeight="1" thickBot="1">
      <c r="B66" s="400"/>
      <c r="C66" s="398"/>
      <c r="D66" s="183">
        <f>185.85+100.8</f>
        <v>286.64999999999998</v>
      </c>
      <c r="E66" s="184">
        <v>7</v>
      </c>
      <c r="F66" s="149">
        <v>2</v>
      </c>
      <c r="G66" s="161"/>
    </row>
    <row r="67" spans="2:10" ht="38.25" customHeight="1" thickBot="1">
      <c r="B67" s="400"/>
      <c r="C67" s="398"/>
      <c r="D67" s="183">
        <v>57.65</v>
      </c>
      <c r="E67" s="184">
        <v>2.1</v>
      </c>
      <c r="F67" s="149">
        <v>1</v>
      </c>
      <c r="G67" s="155"/>
    </row>
    <row r="68" spans="2:10" ht="39" customHeight="1">
      <c r="B68" s="400"/>
      <c r="C68" s="390" t="s">
        <v>313</v>
      </c>
      <c r="D68" s="178">
        <f>111.3+283.5+78.75+305.92</f>
        <v>779.47</v>
      </c>
      <c r="E68" s="174">
        <v>3</v>
      </c>
      <c r="F68" s="145">
        <v>3</v>
      </c>
      <c r="G68" s="141"/>
    </row>
    <row r="69" spans="2:10" ht="39.75" customHeight="1" thickBot="1">
      <c r="B69" s="400"/>
      <c r="C69" s="391"/>
      <c r="D69" s="179">
        <f>57.42+126.72+95.04</f>
        <v>279.18</v>
      </c>
      <c r="E69" s="180">
        <v>3.3</v>
      </c>
      <c r="F69" s="146">
        <v>3</v>
      </c>
      <c r="G69" s="151"/>
    </row>
    <row r="70" spans="2:10" ht="25.5" customHeight="1">
      <c r="B70" s="124" t="s">
        <v>33</v>
      </c>
      <c r="C70" s="7"/>
      <c r="D70" s="131">
        <f>SUM(D8:D69)</f>
        <v>54939.070000000036</v>
      </c>
      <c r="E70" s="131">
        <f>SUM(E8:E69)</f>
        <v>294.10000000000019</v>
      </c>
      <c r="F70" s="138">
        <f>SUM(F8:F69)</f>
        <v>206</v>
      </c>
      <c r="G70" s="16"/>
    </row>
    <row r="71" spans="2:10" ht="69.75" customHeight="1">
      <c r="B71" s="4" t="s">
        <v>4</v>
      </c>
      <c r="C71" s="4" t="s">
        <v>62</v>
      </c>
      <c r="D71" s="125" t="s">
        <v>6</v>
      </c>
      <c r="E71" s="125" t="s">
        <v>63</v>
      </c>
      <c r="F71" s="190" t="s">
        <v>8</v>
      </c>
      <c r="G71" s="5" t="s">
        <v>64</v>
      </c>
    </row>
    <row r="72" spans="2:10" ht="36.75" customHeight="1">
      <c r="B72" s="392" t="s">
        <v>34</v>
      </c>
      <c r="C72" s="7" t="s">
        <v>314</v>
      </c>
      <c r="D72" s="137">
        <v>0</v>
      </c>
      <c r="E72" s="137">
        <v>0</v>
      </c>
      <c r="F72" s="191">
        <v>2</v>
      </c>
      <c r="G72" s="192" t="s">
        <v>315</v>
      </c>
    </row>
    <row r="73" spans="2:10" ht="25.5" customHeight="1">
      <c r="B73" s="393"/>
      <c r="C73" s="7" t="s">
        <v>316</v>
      </c>
      <c r="D73" s="137">
        <v>0</v>
      </c>
      <c r="E73" s="137">
        <v>0</v>
      </c>
      <c r="F73" s="191">
        <v>2</v>
      </c>
      <c r="G73" s="192" t="s">
        <v>315</v>
      </c>
    </row>
    <row r="74" spans="2:10" ht="25.5" customHeight="1">
      <c r="B74" s="393"/>
      <c r="C74" s="7" t="s">
        <v>317</v>
      </c>
      <c r="D74" s="137">
        <v>0</v>
      </c>
      <c r="E74" s="137">
        <v>0</v>
      </c>
      <c r="F74" s="191">
        <v>4</v>
      </c>
      <c r="G74" s="192" t="s">
        <v>315</v>
      </c>
    </row>
    <row r="75" spans="2:10" ht="35.25" customHeight="1">
      <c r="B75" s="393"/>
      <c r="C75" s="7" t="s">
        <v>318</v>
      </c>
      <c r="D75" s="137">
        <v>86.5</v>
      </c>
      <c r="E75" s="137">
        <v>37</v>
      </c>
      <c r="F75" s="58">
        <v>2</v>
      </c>
      <c r="G75" s="193" t="s">
        <v>319</v>
      </c>
    </row>
    <row r="76" spans="2:10" ht="35.25" customHeight="1">
      <c r="B76" s="393"/>
      <c r="C76" s="162" t="s">
        <v>320</v>
      </c>
      <c r="D76" s="137">
        <v>0</v>
      </c>
      <c r="E76" s="137">
        <v>0</v>
      </c>
      <c r="F76" s="163">
        <v>4</v>
      </c>
      <c r="G76" s="192" t="s">
        <v>315</v>
      </c>
    </row>
    <row r="77" spans="2:10" ht="35.25" customHeight="1">
      <c r="B77" s="393"/>
      <c r="C77" s="162" t="s">
        <v>320</v>
      </c>
      <c r="D77" s="137">
        <f>128.7+75</f>
        <v>203.7</v>
      </c>
      <c r="E77" s="137">
        <v>25</v>
      </c>
      <c r="F77" s="58">
        <v>5</v>
      </c>
      <c r="G77" s="193" t="s">
        <v>319</v>
      </c>
    </row>
    <row r="78" spans="2:10" ht="25.5" customHeight="1">
      <c r="B78" s="393"/>
      <c r="C78" s="162" t="s">
        <v>321</v>
      </c>
      <c r="D78" s="164">
        <v>0</v>
      </c>
      <c r="E78" s="164">
        <v>0</v>
      </c>
      <c r="F78" s="194">
        <v>2</v>
      </c>
      <c r="G78" s="192" t="s">
        <v>315</v>
      </c>
      <c r="I78" s="14"/>
      <c r="J78" s="14"/>
    </row>
    <row r="79" spans="2:10" ht="25.5" customHeight="1">
      <c r="B79" s="394"/>
      <c r="C79" s="162" t="s">
        <v>322</v>
      </c>
      <c r="D79" s="164">
        <v>0</v>
      </c>
      <c r="E79" s="164">
        <v>0</v>
      </c>
      <c r="F79" s="194">
        <v>1</v>
      </c>
      <c r="G79" s="192" t="s">
        <v>315</v>
      </c>
      <c r="I79" s="14"/>
      <c r="J79" s="14"/>
    </row>
    <row r="80" spans="2:10" ht="25.5" customHeight="1">
      <c r="B80" s="15" t="s">
        <v>33</v>
      </c>
      <c r="C80" s="15"/>
      <c r="D80" s="131">
        <f>SUM(D72:D79)</f>
        <v>290.2</v>
      </c>
      <c r="E80" s="131">
        <f>SUM(E72:E79)</f>
        <v>62</v>
      </c>
      <c r="F80" s="132">
        <f>SUM(F72:F79)</f>
        <v>22</v>
      </c>
      <c r="G80" s="16"/>
      <c r="H80" s="14"/>
      <c r="I80" s="14"/>
      <c r="J80" s="14"/>
    </row>
    <row r="81" spans="1:8" ht="31.5" customHeight="1">
      <c r="B81" s="388" t="s">
        <v>61</v>
      </c>
      <c r="C81" s="388"/>
      <c r="D81" s="388"/>
      <c r="E81" s="388"/>
      <c r="F81" s="388"/>
      <c r="G81" s="389"/>
      <c r="H81" s="14"/>
    </row>
    <row r="82" spans="1:8" ht="53.25" customHeight="1">
      <c r="A82" s="17"/>
      <c r="B82" s="4" t="s">
        <v>4</v>
      </c>
      <c r="C82" s="4" t="s">
        <v>62</v>
      </c>
      <c r="D82" s="4" t="s">
        <v>6</v>
      </c>
      <c r="E82" s="4" t="s">
        <v>63</v>
      </c>
      <c r="F82" s="4" t="s">
        <v>8</v>
      </c>
      <c r="G82" s="5" t="s">
        <v>64</v>
      </c>
    </row>
    <row r="83" spans="1:8" ht="33" customHeight="1">
      <c r="B83" s="395" t="s">
        <v>65</v>
      </c>
      <c r="C83" s="19" t="s">
        <v>323</v>
      </c>
      <c r="D83" s="49">
        <v>0</v>
      </c>
      <c r="E83" s="49">
        <v>2359</v>
      </c>
      <c r="F83" s="20">
        <v>1</v>
      </c>
      <c r="G83" s="21"/>
    </row>
    <row r="84" spans="1:8" ht="33" customHeight="1">
      <c r="B84" s="396"/>
      <c r="C84" s="19" t="s">
        <v>324</v>
      </c>
      <c r="D84" s="49">
        <v>882</v>
      </c>
      <c r="E84" s="49">
        <v>1764</v>
      </c>
      <c r="F84" s="20">
        <v>1</v>
      </c>
      <c r="G84" s="21"/>
    </row>
    <row r="85" spans="1:8" ht="24.75" customHeight="1">
      <c r="B85" s="28" t="s">
        <v>33</v>
      </c>
      <c r="C85" s="29"/>
      <c r="D85" s="51">
        <f>SUM(D83:D84)</f>
        <v>882</v>
      </c>
      <c r="E85" s="51">
        <f>SUM(E83:E84)</f>
        <v>4123</v>
      </c>
      <c r="F85" s="82">
        <f>SUM(F83:F84)</f>
        <v>2</v>
      </c>
      <c r="G85" s="21"/>
    </row>
    <row r="86" spans="1:8" ht="35.1" customHeight="1">
      <c r="B86" s="395" t="s">
        <v>136</v>
      </c>
      <c r="C86" s="165" t="s">
        <v>325</v>
      </c>
      <c r="D86" s="166">
        <v>750</v>
      </c>
      <c r="E86" s="167">
        <v>840</v>
      </c>
      <c r="F86" s="168">
        <v>18</v>
      </c>
      <c r="G86" s="169"/>
    </row>
    <row r="87" spans="1:8" ht="33.6" customHeight="1">
      <c r="B87" s="397"/>
      <c r="C87" s="93" t="s">
        <v>326</v>
      </c>
      <c r="D87" s="170">
        <v>2232</v>
      </c>
      <c r="E87" s="171">
        <v>2376</v>
      </c>
      <c r="F87" s="94">
        <v>66</v>
      </c>
      <c r="G87" s="21"/>
    </row>
    <row r="88" spans="1:8" ht="44.1" customHeight="1">
      <c r="B88" s="397"/>
      <c r="C88" s="93" t="s">
        <v>327</v>
      </c>
      <c r="D88" s="170">
        <v>884</v>
      </c>
      <c r="E88" s="171">
        <v>960</v>
      </c>
      <c r="F88" s="94">
        <v>20</v>
      </c>
      <c r="G88" s="172" t="s">
        <v>328</v>
      </c>
    </row>
    <row r="89" spans="1:8" ht="36" customHeight="1">
      <c r="B89" s="396"/>
      <c r="C89" s="93" t="s">
        <v>329</v>
      </c>
      <c r="D89" s="170">
        <v>585</v>
      </c>
      <c r="E89" s="171">
        <v>650</v>
      </c>
      <c r="F89" s="94">
        <v>10</v>
      </c>
      <c r="G89" s="172"/>
    </row>
    <row r="90" spans="1:8" ht="29.25" customHeight="1">
      <c r="B90" s="28" t="s">
        <v>33</v>
      </c>
      <c r="C90" s="29"/>
      <c r="D90" s="51">
        <f>SUM(D86:D89)</f>
        <v>4451</v>
      </c>
      <c r="E90" s="51">
        <f>SUM(E86:E89)</f>
        <v>4826</v>
      </c>
      <c r="F90" s="139">
        <f>SUM(F86:F89)</f>
        <v>114</v>
      </c>
      <c r="G90" s="21"/>
    </row>
    <row r="91" spans="1:8" ht="24" customHeight="1">
      <c r="B91" s="18" t="s">
        <v>70</v>
      </c>
      <c r="C91" s="19"/>
      <c r="D91" s="49">
        <v>0</v>
      </c>
      <c r="E91" s="49">
        <v>0</v>
      </c>
      <c r="F91" s="20">
        <v>0</v>
      </c>
      <c r="G91" s="80" t="s">
        <v>77</v>
      </c>
    </row>
    <row r="92" spans="1:8" ht="27" customHeight="1">
      <c r="B92" s="28" t="s">
        <v>33</v>
      </c>
      <c r="C92" s="29"/>
      <c r="D92" s="51">
        <f>SUM(D91)</f>
        <v>0</v>
      </c>
      <c r="E92" s="51">
        <f>SUM(E91)</f>
        <v>0</v>
      </c>
      <c r="F92" s="139">
        <f>SUM(F91)</f>
        <v>0</v>
      </c>
      <c r="G92" s="21"/>
    </row>
    <row r="93" spans="1:8" ht="27" customHeight="1">
      <c r="B93" s="18" t="s">
        <v>73</v>
      </c>
      <c r="C93" s="29"/>
      <c r="D93" s="60">
        <v>0</v>
      </c>
      <c r="E93" s="60">
        <v>0</v>
      </c>
      <c r="F93" s="61">
        <v>0</v>
      </c>
      <c r="G93" s="80" t="s">
        <v>77</v>
      </c>
    </row>
    <row r="94" spans="1:8" ht="16.5" customHeight="1">
      <c r="B94" s="28" t="s">
        <v>33</v>
      </c>
      <c r="C94" s="29"/>
      <c r="D94" s="51">
        <f>SUM(D93)</f>
        <v>0</v>
      </c>
      <c r="E94" s="51">
        <f>SUM(E93)</f>
        <v>0</v>
      </c>
      <c r="F94" s="139">
        <f>SUM(F93)</f>
        <v>0</v>
      </c>
      <c r="G94" s="21"/>
    </row>
    <row r="95" spans="1:8" ht="30.75" customHeight="1">
      <c r="B95" s="18" t="s">
        <v>74</v>
      </c>
      <c r="C95" s="31"/>
      <c r="D95" s="49">
        <v>0</v>
      </c>
      <c r="E95" s="49">
        <v>0</v>
      </c>
      <c r="F95" s="20">
        <v>0</v>
      </c>
      <c r="G95" s="80" t="s">
        <v>77</v>
      </c>
    </row>
    <row r="96" spans="1:8" ht="15.6">
      <c r="B96" s="28" t="s">
        <v>33</v>
      </c>
      <c r="C96" s="29"/>
      <c r="D96" s="51">
        <f>SUM(D95)</f>
        <v>0</v>
      </c>
      <c r="E96" s="51">
        <f>SUM(E95)</f>
        <v>0</v>
      </c>
      <c r="F96" s="139">
        <f>SUM(F95)</f>
        <v>0</v>
      </c>
      <c r="G96" s="21"/>
    </row>
    <row r="97" spans="2:7" ht="17.25" customHeight="1">
      <c r="B97" s="386"/>
      <c r="C97" s="386"/>
      <c r="D97" s="386"/>
      <c r="E97" s="386"/>
      <c r="F97" s="386"/>
      <c r="G97" s="386"/>
    </row>
    <row r="98" spans="2:7" ht="47.25" customHeight="1">
      <c r="B98" s="15" t="s">
        <v>75</v>
      </c>
      <c r="C98" s="29"/>
      <c r="D98" s="109">
        <f>D70+D80+D85+D90+D92+D94+D96</f>
        <v>60562.270000000033</v>
      </c>
      <c r="E98" s="109">
        <f>E70+E80+E85+E90+E92+E94+E96</f>
        <v>9305.1</v>
      </c>
      <c r="F98" s="114">
        <f>F70+F80+F85+F90+F92+F94+F96</f>
        <v>344</v>
      </c>
      <c r="G98" s="21"/>
    </row>
    <row r="99" spans="2:7">
      <c r="B99" s="33"/>
      <c r="C99" s="34"/>
      <c r="D99" s="34"/>
      <c r="E99" s="34"/>
      <c r="F99" s="34"/>
    </row>
    <row r="100" spans="2:7">
      <c r="B100" s="33"/>
      <c r="C100" s="34"/>
      <c r="D100" s="34"/>
      <c r="E100" s="34"/>
      <c r="F100" s="34"/>
    </row>
    <row r="101" spans="2:7">
      <c r="B101" s="35" t="s">
        <v>333</v>
      </c>
    </row>
    <row r="102" spans="2:7">
      <c r="B102" s="35"/>
    </row>
    <row r="103" spans="2:7">
      <c r="B103" s="36" t="s">
        <v>217</v>
      </c>
    </row>
    <row r="104" spans="2:7">
      <c r="B104" s="36" t="s">
        <v>330</v>
      </c>
    </row>
    <row r="105" spans="2:7">
      <c r="B105" s="36" t="s">
        <v>331</v>
      </c>
    </row>
    <row r="106" spans="2:7">
      <c r="B106" s="37"/>
    </row>
    <row r="107" spans="2:7">
      <c r="B107" t="s">
        <v>79</v>
      </c>
    </row>
    <row r="110" spans="2:7" ht="15.75" customHeight="1"/>
  </sheetData>
  <mergeCells count="28">
    <mergeCell ref="C45:C46"/>
    <mergeCell ref="B4:G4"/>
    <mergeCell ref="B5:G5"/>
    <mergeCell ref="B6:G6"/>
    <mergeCell ref="B8:B69"/>
    <mergeCell ref="C8:C10"/>
    <mergeCell ref="C11:C12"/>
    <mergeCell ref="C13:C14"/>
    <mergeCell ref="C15:C18"/>
    <mergeCell ref="C19:C22"/>
    <mergeCell ref="C23:C25"/>
    <mergeCell ref="C26:C28"/>
    <mergeCell ref="C29:C33"/>
    <mergeCell ref="C34:C37"/>
    <mergeCell ref="C38:C42"/>
    <mergeCell ref="C43:C44"/>
    <mergeCell ref="B97:G97"/>
    <mergeCell ref="C47:C50"/>
    <mergeCell ref="C51:C52"/>
    <mergeCell ref="C53:C57"/>
    <mergeCell ref="C58:C59"/>
    <mergeCell ref="C60:C62"/>
    <mergeCell ref="C63:C67"/>
    <mergeCell ref="C68:C69"/>
    <mergeCell ref="B72:B79"/>
    <mergeCell ref="B81:G81"/>
    <mergeCell ref="B83:B84"/>
    <mergeCell ref="B86:B8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044BC-B834-4505-B186-22575C09D6D6}">
  <dimension ref="B1:P120"/>
  <sheetViews>
    <sheetView topLeftCell="A103" workbookViewId="0">
      <selection activeCell="G105" sqref="G105"/>
    </sheetView>
  </sheetViews>
  <sheetFormatPr defaultColWidth="9.109375" defaultRowHeight="14.4"/>
  <cols>
    <col min="1" max="1" width="3.44140625" customWidth="1"/>
    <col min="2" max="2" width="39.21875" customWidth="1"/>
    <col min="3" max="3" width="33.88671875" customWidth="1"/>
    <col min="4" max="4" width="16.6640625" customWidth="1"/>
    <col min="5" max="5" width="18.33203125" customWidth="1"/>
    <col min="6" max="6" width="11.33203125" customWidth="1"/>
    <col min="7" max="7" width="29.109375" customWidth="1"/>
    <col min="8" max="8" width="16" customWidth="1"/>
  </cols>
  <sheetData>
    <row r="1" spans="2:9" ht="30" customHeight="1">
      <c r="B1" s="195" t="s">
        <v>0</v>
      </c>
    </row>
    <row r="2" spans="2:9" ht="25.5" customHeight="1">
      <c r="B2" s="195" t="s">
        <v>1</v>
      </c>
      <c r="D2" s="196"/>
      <c r="E2" s="196"/>
    </row>
    <row r="3" spans="2:9" ht="12.75" customHeight="1">
      <c r="B3" s="195"/>
      <c r="D3" s="196"/>
      <c r="E3" s="196"/>
    </row>
    <row r="4" spans="2:9" ht="32.25" customHeight="1">
      <c r="B4" s="407" t="s">
        <v>81</v>
      </c>
      <c r="C4" s="407"/>
      <c r="D4" s="407"/>
      <c r="E4" s="407"/>
      <c r="F4" s="407"/>
      <c r="G4" s="407"/>
    </row>
    <row r="5" spans="2:9" ht="31.5" customHeight="1">
      <c r="B5" s="408" t="s">
        <v>334</v>
      </c>
      <c r="C5" s="408"/>
      <c r="D5" s="408"/>
      <c r="E5" s="408"/>
      <c r="F5" s="408"/>
      <c r="G5" s="408"/>
    </row>
    <row r="6" spans="2:9" ht="26.25" customHeight="1">
      <c r="B6" s="409" t="s">
        <v>3</v>
      </c>
      <c r="C6" s="409"/>
      <c r="D6" s="409"/>
      <c r="E6" s="409"/>
      <c r="F6" s="409"/>
      <c r="G6" s="409"/>
    </row>
    <row r="7" spans="2:9" ht="97.5" customHeight="1">
      <c r="B7" s="88" t="s">
        <v>4</v>
      </c>
      <c r="C7" s="197" t="s">
        <v>5</v>
      </c>
      <c r="D7" s="197" t="s">
        <v>6</v>
      </c>
      <c r="E7" s="197" t="s">
        <v>7</v>
      </c>
      <c r="F7" s="197" t="s">
        <v>8</v>
      </c>
      <c r="G7" s="197" t="s">
        <v>9</v>
      </c>
      <c r="I7" s="198"/>
    </row>
    <row r="8" spans="2:9" ht="31.5" customHeight="1">
      <c r="B8" s="410" t="s">
        <v>83</v>
      </c>
      <c r="C8" s="7" t="s">
        <v>335</v>
      </c>
      <c r="D8" s="49">
        <v>1171.05</v>
      </c>
      <c r="E8" s="104">
        <v>10</v>
      </c>
      <c r="F8" s="199">
        <v>12</v>
      </c>
      <c r="G8" s="200"/>
      <c r="I8" s="201"/>
    </row>
    <row r="9" spans="2:9" ht="31.5" customHeight="1">
      <c r="B9" s="411"/>
      <c r="C9" s="7" t="s">
        <v>336</v>
      </c>
      <c r="D9" s="49">
        <v>36.72</v>
      </c>
      <c r="E9" s="104">
        <v>6</v>
      </c>
      <c r="F9" s="199">
        <v>3</v>
      </c>
      <c r="G9" s="200"/>
      <c r="I9" s="201"/>
    </row>
    <row r="10" spans="2:9" ht="31.5" customHeight="1">
      <c r="B10" s="411"/>
      <c r="C10" s="202" t="s">
        <v>337</v>
      </c>
      <c r="D10" s="49">
        <v>359.1</v>
      </c>
      <c r="E10" s="104">
        <v>10</v>
      </c>
      <c r="F10" s="199">
        <v>7</v>
      </c>
      <c r="G10" s="200"/>
    </row>
    <row r="11" spans="2:9" ht="31.5" customHeight="1">
      <c r="B11" s="411"/>
      <c r="C11" s="202" t="s">
        <v>338</v>
      </c>
      <c r="D11" s="49">
        <v>66.239999999999995</v>
      </c>
      <c r="E11" s="104">
        <v>6</v>
      </c>
      <c r="F11" s="199">
        <v>2</v>
      </c>
      <c r="G11" s="200"/>
    </row>
    <row r="12" spans="2:9" ht="31.5" customHeight="1">
      <c r="B12" s="411"/>
      <c r="C12" s="7" t="s">
        <v>339</v>
      </c>
      <c r="D12" s="49">
        <v>2058.9</v>
      </c>
      <c r="E12" s="104">
        <v>10</v>
      </c>
      <c r="F12" s="199">
        <v>10</v>
      </c>
      <c r="G12" s="200"/>
    </row>
    <row r="13" spans="2:9" ht="31.5" customHeight="1">
      <c r="B13" s="411"/>
      <c r="C13" s="7" t="s">
        <v>340</v>
      </c>
      <c r="D13" s="49">
        <v>0</v>
      </c>
      <c r="E13" s="104">
        <v>6</v>
      </c>
      <c r="F13" s="199">
        <v>0</v>
      </c>
      <c r="G13" s="80" t="s">
        <v>77</v>
      </c>
    </row>
    <row r="14" spans="2:9" ht="31.5" customHeight="1">
      <c r="B14" s="411"/>
      <c r="C14" s="7" t="s">
        <v>341</v>
      </c>
      <c r="D14" s="49">
        <v>90</v>
      </c>
      <c r="E14" s="104">
        <v>15</v>
      </c>
      <c r="F14" s="199">
        <v>1</v>
      </c>
      <c r="G14" s="200"/>
    </row>
    <row r="15" spans="2:9" ht="31.5" customHeight="1">
      <c r="B15" s="411"/>
      <c r="C15" s="7" t="s">
        <v>342</v>
      </c>
      <c r="D15" s="49">
        <v>3163.65</v>
      </c>
      <c r="E15" s="104">
        <v>10</v>
      </c>
      <c r="F15" s="199">
        <v>20</v>
      </c>
      <c r="G15" s="200"/>
    </row>
    <row r="16" spans="2:9" ht="31.5" customHeight="1">
      <c r="B16" s="411"/>
      <c r="C16" s="7" t="s">
        <v>343</v>
      </c>
      <c r="D16" s="49">
        <v>2624.64</v>
      </c>
      <c r="E16" s="104">
        <v>6</v>
      </c>
      <c r="F16" s="199">
        <v>14</v>
      </c>
      <c r="G16" s="200"/>
    </row>
    <row r="17" spans="2:9" ht="31.5" customHeight="1">
      <c r="B17" s="411"/>
      <c r="C17" s="7" t="s">
        <v>344</v>
      </c>
      <c r="D17" s="49">
        <v>348</v>
      </c>
      <c r="E17" s="104">
        <v>10</v>
      </c>
      <c r="F17" s="199">
        <v>1</v>
      </c>
      <c r="G17" s="203"/>
    </row>
    <row r="18" spans="2:9" ht="31.5" customHeight="1">
      <c r="B18" s="411"/>
      <c r="C18" s="7" t="s">
        <v>345</v>
      </c>
      <c r="D18" s="47">
        <v>522</v>
      </c>
      <c r="E18" s="104">
        <v>15</v>
      </c>
      <c r="F18" s="199">
        <v>2</v>
      </c>
      <c r="G18" s="203"/>
    </row>
    <row r="19" spans="2:9" ht="31.5" customHeight="1">
      <c r="B19" s="411"/>
      <c r="C19" s="7" t="s">
        <v>346</v>
      </c>
      <c r="D19" s="49">
        <v>796.86</v>
      </c>
      <c r="E19" s="104">
        <v>10</v>
      </c>
      <c r="F19" s="199">
        <v>12</v>
      </c>
      <c r="G19" s="200"/>
      <c r="H19" s="204"/>
    </row>
    <row r="20" spans="2:9" ht="31.5" customHeight="1">
      <c r="B20" s="411"/>
      <c r="C20" s="7" t="s">
        <v>347</v>
      </c>
      <c r="D20" s="104">
        <v>1231.83</v>
      </c>
      <c r="E20" s="104">
        <v>6</v>
      </c>
      <c r="F20" s="199">
        <v>24</v>
      </c>
      <c r="G20" s="200"/>
      <c r="H20" s="204"/>
    </row>
    <row r="21" spans="2:9" ht="31.5" customHeight="1">
      <c r="B21" s="411"/>
      <c r="C21" s="7" t="s">
        <v>348</v>
      </c>
      <c r="D21" s="49">
        <v>1929.21</v>
      </c>
      <c r="E21" s="104">
        <v>10</v>
      </c>
      <c r="F21" s="199">
        <v>14</v>
      </c>
      <c r="G21" s="200"/>
    </row>
    <row r="22" spans="2:9" ht="36" customHeight="1">
      <c r="B22" s="411"/>
      <c r="C22" s="7" t="s">
        <v>349</v>
      </c>
      <c r="D22" s="49">
        <v>800.46</v>
      </c>
      <c r="E22" s="104">
        <v>6</v>
      </c>
      <c r="F22" s="199">
        <v>16</v>
      </c>
      <c r="G22" s="200"/>
    </row>
    <row r="23" spans="2:9" ht="48.75" customHeight="1">
      <c r="B23" s="411"/>
      <c r="C23" s="7" t="s">
        <v>350</v>
      </c>
      <c r="D23" s="47">
        <v>0</v>
      </c>
      <c r="E23" s="104">
        <v>10</v>
      </c>
      <c r="F23" s="199">
        <v>0</v>
      </c>
      <c r="G23" s="80" t="s">
        <v>77</v>
      </c>
    </row>
    <row r="24" spans="2:9" ht="51.75" customHeight="1">
      <c r="B24" s="411"/>
      <c r="C24" s="7" t="s">
        <v>351</v>
      </c>
      <c r="D24" s="47">
        <v>0</v>
      </c>
      <c r="E24" s="104">
        <v>15</v>
      </c>
      <c r="F24" s="199">
        <v>1</v>
      </c>
      <c r="G24" s="203"/>
    </row>
    <row r="25" spans="2:9" ht="39" customHeight="1">
      <c r="B25" s="411"/>
      <c r="C25" s="7" t="s">
        <v>352</v>
      </c>
      <c r="D25" s="49">
        <v>5179.7</v>
      </c>
      <c r="E25" s="104">
        <v>10</v>
      </c>
      <c r="F25" s="199">
        <v>23</v>
      </c>
      <c r="G25" s="205"/>
      <c r="I25" s="201"/>
    </row>
    <row r="26" spans="2:9" ht="31.5" customHeight="1">
      <c r="B26" s="411"/>
      <c r="C26" s="7" t="s">
        <v>353</v>
      </c>
      <c r="D26" s="49">
        <v>0</v>
      </c>
      <c r="E26" s="104">
        <v>6</v>
      </c>
      <c r="F26" s="199">
        <v>0</v>
      </c>
      <c r="G26" s="80" t="s">
        <v>77</v>
      </c>
    </row>
    <row r="27" spans="2:9" ht="31.5" customHeight="1">
      <c r="B27" s="411"/>
      <c r="C27" s="7" t="s">
        <v>354</v>
      </c>
      <c r="D27" s="49">
        <v>1377.9</v>
      </c>
      <c r="E27" s="104">
        <v>10</v>
      </c>
      <c r="F27" s="199">
        <v>5</v>
      </c>
      <c r="G27" s="206"/>
    </row>
    <row r="28" spans="2:9" ht="31.5" customHeight="1">
      <c r="B28" s="411"/>
      <c r="C28" s="7" t="s">
        <v>355</v>
      </c>
      <c r="D28" s="49">
        <v>0</v>
      </c>
      <c r="E28" s="104">
        <v>6</v>
      </c>
      <c r="F28" s="199">
        <v>0</v>
      </c>
      <c r="G28" s="80" t="s">
        <v>77</v>
      </c>
    </row>
    <row r="29" spans="2:9" ht="31.5" customHeight="1">
      <c r="B29" s="411"/>
      <c r="C29" s="7" t="s">
        <v>356</v>
      </c>
      <c r="D29" s="49">
        <v>3495.3</v>
      </c>
      <c r="E29" s="104">
        <v>10</v>
      </c>
      <c r="F29" s="199">
        <v>13</v>
      </c>
      <c r="G29" s="207"/>
    </row>
    <row r="30" spans="2:9" ht="31.5" customHeight="1">
      <c r="B30" s="411"/>
      <c r="C30" s="7" t="s">
        <v>357</v>
      </c>
      <c r="D30" s="49">
        <v>0</v>
      </c>
      <c r="E30" s="104">
        <v>6</v>
      </c>
      <c r="F30" s="199">
        <v>4</v>
      </c>
      <c r="G30" s="26"/>
      <c r="I30" s="201"/>
    </row>
    <row r="31" spans="2:9" ht="31.5" customHeight="1">
      <c r="B31" s="411"/>
      <c r="C31" s="7" t="s">
        <v>358</v>
      </c>
      <c r="D31" s="49">
        <v>81.900000000000006</v>
      </c>
      <c r="E31" s="104">
        <v>10</v>
      </c>
      <c r="F31" s="199">
        <v>2</v>
      </c>
      <c r="G31" s="26"/>
      <c r="I31" s="201"/>
    </row>
    <row r="32" spans="2:9" ht="31.5" customHeight="1">
      <c r="B32" s="411"/>
      <c r="C32" s="7" t="s">
        <v>359</v>
      </c>
      <c r="D32" s="49">
        <v>259.64999999999998</v>
      </c>
      <c r="E32" s="104">
        <v>6</v>
      </c>
      <c r="F32" s="199">
        <v>10</v>
      </c>
      <c r="G32" s="205"/>
      <c r="I32" s="201"/>
    </row>
    <row r="33" spans="2:9" ht="31.5" customHeight="1">
      <c r="B33" s="411"/>
      <c r="C33" s="7" t="s">
        <v>360</v>
      </c>
      <c r="D33" s="49">
        <v>1542.6</v>
      </c>
      <c r="E33" s="104">
        <v>10</v>
      </c>
      <c r="F33" s="199">
        <v>7</v>
      </c>
      <c r="G33" s="207"/>
    </row>
    <row r="34" spans="2:9" ht="31.5" customHeight="1">
      <c r="B34" s="411"/>
      <c r="C34" s="7" t="s">
        <v>361</v>
      </c>
      <c r="D34" s="49">
        <v>0</v>
      </c>
      <c r="E34" s="104">
        <v>6</v>
      </c>
      <c r="F34" s="199">
        <v>1</v>
      </c>
      <c r="G34" s="208"/>
    </row>
    <row r="35" spans="2:9" ht="31.5" customHeight="1">
      <c r="B35" s="411"/>
      <c r="C35" s="7" t="s">
        <v>362</v>
      </c>
      <c r="D35" s="49">
        <v>513</v>
      </c>
      <c r="E35" s="104">
        <v>15</v>
      </c>
      <c r="F35" s="199">
        <v>1</v>
      </c>
      <c r="G35" s="208"/>
    </row>
    <row r="36" spans="2:9" ht="31.5" customHeight="1">
      <c r="B36" s="411"/>
      <c r="C36" s="7" t="s">
        <v>363</v>
      </c>
      <c r="D36" s="49">
        <v>611.84</v>
      </c>
      <c r="E36" s="104">
        <v>10</v>
      </c>
      <c r="F36" s="199">
        <v>7</v>
      </c>
      <c r="G36" s="209"/>
    </row>
    <row r="37" spans="2:9" ht="31.5" customHeight="1">
      <c r="B37" s="411"/>
      <c r="C37" s="7" t="s">
        <v>364</v>
      </c>
      <c r="D37" s="49">
        <v>92.34</v>
      </c>
      <c r="E37" s="104">
        <v>6</v>
      </c>
      <c r="F37" s="199">
        <v>5</v>
      </c>
      <c r="G37" s="210"/>
    </row>
    <row r="38" spans="2:9" ht="31.5" customHeight="1">
      <c r="B38" s="411"/>
      <c r="C38" s="7" t="s">
        <v>365</v>
      </c>
      <c r="D38" s="49">
        <v>806.32</v>
      </c>
      <c r="E38" s="104">
        <v>10</v>
      </c>
      <c r="F38" s="199">
        <v>10</v>
      </c>
      <c r="G38" s="211"/>
      <c r="I38" s="201"/>
    </row>
    <row r="39" spans="2:9" ht="31.5" customHeight="1">
      <c r="B39" s="411"/>
      <c r="C39" s="7" t="s">
        <v>366</v>
      </c>
      <c r="D39" s="49">
        <v>452.46</v>
      </c>
      <c r="E39" s="104">
        <v>6</v>
      </c>
      <c r="F39" s="199">
        <v>8</v>
      </c>
      <c r="G39" s="212"/>
    </row>
    <row r="40" spans="2:9" ht="31.5" customHeight="1">
      <c r="B40" s="411"/>
      <c r="C40" s="7" t="s">
        <v>367</v>
      </c>
      <c r="D40" s="49">
        <v>0</v>
      </c>
      <c r="E40" s="104">
        <v>15</v>
      </c>
      <c r="F40" s="199">
        <v>1</v>
      </c>
      <c r="G40" s="212"/>
    </row>
    <row r="41" spans="2:9" ht="31.5" customHeight="1">
      <c r="B41" s="411"/>
      <c r="C41" s="7" t="s">
        <v>368</v>
      </c>
      <c r="D41" s="49">
        <v>2439.5300000000002</v>
      </c>
      <c r="E41" s="104">
        <v>10</v>
      </c>
      <c r="F41" s="199">
        <v>11</v>
      </c>
      <c r="G41" s="212"/>
      <c r="H41" s="213"/>
      <c r="I41" s="204"/>
    </row>
    <row r="42" spans="2:9" ht="31.5" customHeight="1">
      <c r="B42" s="411"/>
      <c r="C42" s="7" t="s">
        <v>369</v>
      </c>
      <c r="D42" s="49">
        <v>113.4</v>
      </c>
      <c r="E42" s="104">
        <v>6</v>
      </c>
      <c r="F42" s="199">
        <v>1</v>
      </c>
      <c r="G42" s="87"/>
    </row>
    <row r="43" spans="2:9" ht="42" customHeight="1">
      <c r="B43" s="411"/>
      <c r="C43" s="7" t="s">
        <v>370</v>
      </c>
      <c r="D43" s="49">
        <v>1464.1</v>
      </c>
      <c r="E43" s="104">
        <v>10</v>
      </c>
      <c r="F43" s="199">
        <v>18</v>
      </c>
      <c r="G43" s="209"/>
    </row>
    <row r="44" spans="2:9" ht="31.5" customHeight="1">
      <c r="B44" s="411"/>
      <c r="C44" s="7" t="s">
        <v>371</v>
      </c>
      <c r="D44" s="47">
        <v>324</v>
      </c>
      <c r="E44" s="104">
        <v>6</v>
      </c>
      <c r="F44" s="199">
        <v>1</v>
      </c>
      <c r="G44" s="87"/>
    </row>
    <row r="45" spans="2:9" ht="31.5" customHeight="1">
      <c r="B45" s="411"/>
      <c r="C45" s="7" t="s">
        <v>372</v>
      </c>
      <c r="D45" s="47">
        <v>405</v>
      </c>
      <c r="E45" s="104">
        <v>15</v>
      </c>
      <c r="F45" s="199">
        <v>1</v>
      </c>
      <c r="G45" s="87"/>
    </row>
    <row r="46" spans="2:9" ht="31.5" customHeight="1">
      <c r="B46" s="411"/>
      <c r="C46" s="7" t="s">
        <v>373</v>
      </c>
      <c r="D46" s="47">
        <v>2320.5</v>
      </c>
      <c r="E46" s="104">
        <v>10</v>
      </c>
      <c r="F46" s="199">
        <v>4</v>
      </c>
      <c r="G46" s="87"/>
      <c r="I46" s="201"/>
    </row>
    <row r="47" spans="2:9" ht="31.5" customHeight="1">
      <c r="B47" s="411"/>
      <c r="C47" s="7" t="s">
        <v>374</v>
      </c>
      <c r="D47" s="49">
        <v>0</v>
      </c>
      <c r="E47" s="104">
        <v>6</v>
      </c>
      <c r="F47" s="199">
        <v>0</v>
      </c>
      <c r="G47" s="80" t="s">
        <v>77</v>
      </c>
    </row>
    <row r="48" spans="2:9" ht="31.5" customHeight="1">
      <c r="B48" s="411"/>
      <c r="C48" s="7" t="s">
        <v>375</v>
      </c>
      <c r="D48" s="49">
        <v>3503.4</v>
      </c>
      <c r="E48" s="104">
        <v>10</v>
      </c>
      <c r="F48" s="199">
        <v>10</v>
      </c>
      <c r="G48" s="207"/>
    </row>
    <row r="49" spans="2:16" ht="31.5" customHeight="1">
      <c r="B49" s="411"/>
      <c r="C49" s="7" t="s">
        <v>376</v>
      </c>
      <c r="D49" s="49">
        <v>0</v>
      </c>
      <c r="E49" s="104">
        <v>6</v>
      </c>
      <c r="F49" s="199">
        <v>0</v>
      </c>
      <c r="G49" s="80" t="s">
        <v>77</v>
      </c>
    </row>
    <row r="50" spans="2:16" ht="31.5" customHeight="1">
      <c r="B50" s="411"/>
      <c r="C50" s="7" t="s">
        <v>377</v>
      </c>
      <c r="D50" s="49">
        <v>624.67999999999995</v>
      </c>
      <c r="E50" s="104">
        <v>10</v>
      </c>
      <c r="F50" s="199">
        <v>6</v>
      </c>
      <c r="G50" s="205"/>
      <c r="I50" s="201"/>
      <c r="P50" s="214"/>
    </row>
    <row r="51" spans="2:16" ht="31.5" customHeight="1">
      <c r="B51" s="411"/>
      <c r="C51" s="7" t="s">
        <v>378</v>
      </c>
      <c r="D51" s="49">
        <v>0</v>
      </c>
      <c r="E51" s="104">
        <v>6</v>
      </c>
      <c r="F51" s="199">
        <v>0</v>
      </c>
      <c r="G51" s="80" t="s">
        <v>77</v>
      </c>
      <c r="P51" s="214"/>
    </row>
    <row r="52" spans="2:16" ht="31.5" customHeight="1">
      <c r="B52" s="411"/>
      <c r="C52" s="7" t="s">
        <v>379</v>
      </c>
      <c r="D52" s="49">
        <v>196.39</v>
      </c>
      <c r="E52" s="104">
        <v>10</v>
      </c>
      <c r="F52" s="199">
        <v>4</v>
      </c>
      <c r="G52" s="203"/>
      <c r="P52" s="214"/>
    </row>
    <row r="53" spans="2:16" ht="31.5" customHeight="1">
      <c r="B53" s="411"/>
      <c r="C53" s="7" t="s">
        <v>380</v>
      </c>
      <c r="D53" s="49">
        <v>142.19999999999999</v>
      </c>
      <c r="E53" s="104">
        <v>6</v>
      </c>
      <c r="F53" s="202">
        <v>5</v>
      </c>
      <c r="G53" s="215"/>
    </row>
    <row r="54" spans="2:16" ht="31.5" customHeight="1">
      <c r="B54" s="411"/>
      <c r="C54" s="7" t="s">
        <v>381</v>
      </c>
      <c r="D54" s="49">
        <v>1067.04</v>
      </c>
      <c r="E54" s="104">
        <v>10</v>
      </c>
      <c r="F54" s="202">
        <v>11</v>
      </c>
      <c r="G54" s="215"/>
    </row>
    <row r="55" spans="2:16" ht="31.5" customHeight="1">
      <c r="B55" s="411"/>
      <c r="C55" s="7" t="s">
        <v>382</v>
      </c>
      <c r="D55" s="49">
        <v>695.59</v>
      </c>
      <c r="E55" s="104">
        <v>6</v>
      </c>
      <c r="F55" s="202">
        <v>9</v>
      </c>
      <c r="G55" s="215"/>
    </row>
    <row r="56" spans="2:16" ht="31.5" customHeight="1">
      <c r="B56" s="411"/>
      <c r="C56" s="7" t="s">
        <v>383</v>
      </c>
      <c r="D56" s="49">
        <v>30.4</v>
      </c>
      <c r="E56" s="104">
        <v>10</v>
      </c>
      <c r="F56" s="202">
        <v>1</v>
      </c>
      <c r="G56" s="216"/>
    </row>
    <row r="57" spans="2:16" ht="31.5" customHeight="1">
      <c r="B57" s="411"/>
      <c r="C57" s="7" t="s">
        <v>384</v>
      </c>
      <c r="D57" s="49">
        <v>100.44</v>
      </c>
      <c r="E57" s="104">
        <v>6</v>
      </c>
      <c r="F57" s="202">
        <v>5</v>
      </c>
      <c r="G57" s="215"/>
    </row>
    <row r="58" spans="2:16" ht="31.5" customHeight="1">
      <c r="B58" s="411"/>
      <c r="C58" s="7" t="s">
        <v>385</v>
      </c>
      <c r="D58" s="49">
        <v>1253.22</v>
      </c>
      <c r="E58" s="104">
        <v>10</v>
      </c>
      <c r="F58" s="202">
        <v>16</v>
      </c>
      <c r="G58" s="217"/>
    </row>
    <row r="59" spans="2:16" ht="31.5" customHeight="1">
      <c r="B59" s="412"/>
      <c r="C59" s="7" t="s">
        <v>386</v>
      </c>
      <c r="D59" s="49">
        <v>309.60000000000002</v>
      </c>
      <c r="E59" s="104">
        <v>6</v>
      </c>
      <c r="F59" s="202">
        <v>5</v>
      </c>
      <c r="G59" s="217"/>
    </row>
    <row r="60" spans="2:16" ht="31.5" customHeight="1">
      <c r="B60" s="412"/>
      <c r="C60" s="7" t="s">
        <v>387</v>
      </c>
      <c r="D60" s="49">
        <v>607.5</v>
      </c>
      <c r="E60" s="104">
        <v>15</v>
      </c>
      <c r="F60" s="202">
        <v>3</v>
      </c>
      <c r="G60" s="217"/>
    </row>
    <row r="61" spans="2:16" ht="33" customHeight="1">
      <c r="B61" s="92" t="s">
        <v>33</v>
      </c>
      <c r="C61" s="92"/>
      <c r="D61" s="105">
        <f>SUM(D8:D60)</f>
        <v>45208.66</v>
      </c>
      <c r="E61" s="105">
        <f>SUM(E8:E60)</f>
        <v>477</v>
      </c>
      <c r="F61" s="110">
        <f>SUM(F8:F60)</f>
        <v>347</v>
      </c>
      <c r="G61" s="89"/>
    </row>
    <row r="62" spans="2:16" ht="33" customHeight="1">
      <c r="B62" s="413" t="s">
        <v>34</v>
      </c>
      <c r="C62" s="7" t="s">
        <v>388</v>
      </c>
      <c r="D62" s="47">
        <v>0</v>
      </c>
      <c r="E62" s="230">
        <v>0</v>
      </c>
      <c r="F62" s="218">
        <v>27</v>
      </c>
      <c r="G62" s="7" t="s">
        <v>430</v>
      </c>
    </row>
    <row r="63" spans="2:16" s="221" customFormat="1" ht="56.4" customHeight="1">
      <c r="B63" s="414"/>
      <c r="C63" s="7" t="s">
        <v>389</v>
      </c>
      <c r="D63" s="47">
        <v>0</v>
      </c>
      <c r="E63" s="230">
        <v>1.22</v>
      </c>
      <c r="F63" s="220">
        <v>0</v>
      </c>
      <c r="G63" s="80" t="s">
        <v>77</v>
      </c>
    </row>
    <row r="64" spans="2:16" ht="55.2">
      <c r="B64" s="414"/>
      <c r="C64" s="222" t="s">
        <v>390</v>
      </c>
      <c r="D64" s="47">
        <v>386.76</v>
      </c>
      <c r="E64" s="231">
        <v>4.96</v>
      </c>
      <c r="F64" s="220">
        <v>3</v>
      </c>
      <c r="G64" s="223" t="s">
        <v>391</v>
      </c>
    </row>
    <row r="65" spans="2:7" ht="39.75" customHeight="1">
      <c r="B65" s="414"/>
      <c r="C65" s="7" t="s">
        <v>392</v>
      </c>
      <c r="D65" s="49">
        <v>0</v>
      </c>
      <c r="E65" s="104">
        <v>0</v>
      </c>
      <c r="F65" s="224">
        <v>0</v>
      </c>
      <c r="G65" s="80" t="s">
        <v>77</v>
      </c>
    </row>
    <row r="66" spans="2:7" ht="28.8">
      <c r="B66" s="414"/>
      <c r="C66" s="7" t="s">
        <v>393</v>
      </c>
      <c r="D66" s="49">
        <v>0</v>
      </c>
      <c r="E66" s="104">
        <v>1.22</v>
      </c>
      <c r="F66" s="224">
        <v>0</v>
      </c>
      <c r="G66" s="80" t="s">
        <v>77</v>
      </c>
    </row>
    <row r="67" spans="2:7" ht="53.25" customHeight="1">
      <c r="B67" s="414"/>
      <c r="C67" s="7" t="s">
        <v>394</v>
      </c>
      <c r="D67" s="49">
        <v>0</v>
      </c>
      <c r="E67" s="104">
        <v>4.96</v>
      </c>
      <c r="F67" s="224">
        <v>0</v>
      </c>
      <c r="G67" s="80" t="s">
        <v>77</v>
      </c>
    </row>
    <row r="68" spans="2:7" ht="53.25" customHeight="1">
      <c r="B68" s="414"/>
      <c r="C68" s="7" t="s">
        <v>395</v>
      </c>
      <c r="D68" s="49">
        <v>0</v>
      </c>
      <c r="E68" s="104">
        <v>0</v>
      </c>
      <c r="F68" s="224">
        <v>0</v>
      </c>
      <c r="G68" s="80" t="s">
        <v>77</v>
      </c>
    </row>
    <row r="69" spans="2:7" ht="55.2" customHeight="1">
      <c r="B69" s="414"/>
      <c r="C69" s="7" t="s">
        <v>396</v>
      </c>
      <c r="D69" s="49">
        <v>0</v>
      </c>
      <c r="E69" s="104">
        <v>1.22</v>
      </c>
      <c r="F69" s="224">
        <v>0</v>
      </c>
      <c r="G69" s="80" t="s">
        <v>77</v>
      </c>
    </row>
    <row r="70" spans="2:7" ht="55.2">
      <c r="B70" s="414"/>
      <c r="C70" s="7" t="s">
        <v>397</v>
      </c>
      <c r="D70" s="47">
        <v>37.18</v>
      </c>
      <c r="E70" s="230">
        <v>4.96</v>
      </c>
      <c r="F70" s="220">
        <v>1</v>
      </c>
      <c r="G70" s="219" t="s">
        <v>391</v>
      </c>
    </row>
    <row r="71" spans="2:7" ht="42.75" customHeight="1">
      <c r="B71" s="414"/>
      <c r="C71" s="7" t="s">
        <v>398</v>
      </c>
      <c r="D71" s="47">
        <v>0</v>
      </c>
      <c r="E71" s="230">
        <v>4.96</v>
      </c>
      <c r="F71" s="220">
        <v>0</v>
      </c>
      <c r="G71" s="80" t="s">
        <v>77</v>
      </c>
    </row>
    <row r="72" spans="2:7" ht="42.75" customHeight="1">
      <c r="B72" s="414"/>
      <c r="C72" s="7" t="s">
        <v>399</v>
      </c>
      <c r="D72" s="47">
        <v>0</v>
      </c>
      <c r="E72" s="230">
        <v>0</v>
      </c>
      <c r="F72" s="6">
        <v>31</v>
      </c>
      <c r="G72" s="7" t="s">
        <v>430</v>
      </c>
    </row>
    <row r="73" spans="2:7" ht="42.75" customHeight="1">
      <c r="B73" s="414"/>
      <c r="C73" s="7" t="s">
        <v>400</v>
      </c>
      <c r="D73" s="47">
        <v>0</v>
      </c>
      <c r="E73" s="230">
        <v>0.99</v>
      </c>
      <c r="F73" s="220">
        <v>0</v>
      </c>
      <c r="G73" s="80" t="s">
        <v>77</v>
      </c>
    </row>
    <row r="74" spans="2:7" ht="58.95" customHeight="1">
      <c r="B74" s="414"/>
      <c r="C74" s="7" t="s">
        <v>401</v>
      </c>
      <c r="D74" s="47">
        <v>685.15</v>
      </c>
      <c r="E74" s="230">
        <v>3.72</v>
      </c>
      <c r="F74" s="220">
        <v>5</v>
      </c>
      <c r="G74" s="219" t="s">
        <v>402</v>
      </c>
    </row>
    <row r="75" spans="2:7" ht="42.75" customHeight="1">
      <c r="B75" s="414"/>
      <c r="C75" s="7" t="s">
        <v>403</v>
      </c>
      <c r="D75" s="47">
        <v>0</v>
      </c>
      <c r="E75" s="230">
        <v>11.16</v>
      </c>
      <c r="F75" s="220">
        <v>0</v>
      </c>
      <c r="G75" s="80" t="s">
        <v>77</v>
      </c>
    </row>
    <row r="76" spans="2:7" ht="42.75" customHeight="1">
      <c r="B76" s="414"/>
      <c r="C76" s="7" t="s">
        <v>404</v>
      </c>
      <c r="D76" s="47">
        <v>0</v>
      </c>
      <c r="E76" s="230">
        <v>0</v>
      </c>
      <c r="F76" s="6">
        <v>8</v>
      </c>
      <c r="G76" s="7" t="s">
        <v>430</v>
      </c>
    </row>
    <row r="77" spans="2:7" ht="42.75" customHeight="1">
      <c r="B77" s="414"/>
      <c r="C77" s="7" t="s">
        <v>405</v>
      </c>
      <c r="D77" s="47">
        <v>0</v>
      </c>
      <c r="E77" s="230">
        <v>0.68</v>
      </c>
      <c r="F77" s="220">
        <v>0</v>
      </c>
      <c r="G77" s="80" t="s">
        <v>77</v>
      </c>
    </row>
    <row r="78" spans="2:7" ht="42.75" customHeight="1">
      <c r="B78" s="414"/>
      <c r="C78" s="7" t="s">
        <v>406</v>
      </c>
      <c r="D78" s="47">
        <v>0</v>
      </c>
      <c r="E78" s="230">
        <v>2.48</v>
      </c>
      <c r="F78" s="220">
        <v>0</v>
      </c>
      <c r="G78" s="80" t="s">
        <v>77</v>
      </c>
    </row>
    <row r="79" spans="2:7" ht="42.75" customHeight="1">
      <c r="B79" s="414"/>
      <c r="C79" s="7" t="s">
        <v>407</v>
      </c>
      <c r="D79" s="47">
        <v>0</v>
      </c>
      <c r="E79" s="230">
        <v>7.44</v>
      </c>
      <c r="F79" s="220">
        <v>0</v>
      </c>
      <c r="G79" s="80" t="s">
        <v>77</v>
      </c>
    </row>
    <row r="80" spans="2:7" ht="42.75" customHeight="1">
      <c r="B80" s="414"/>
      <c r="C80" s="7" t="s">
        <v>408</v>
      </c>
      <c r="D80" s="47">
        <v>0</v>
      </c>
      <c r="E80" s="230">
        <v>0</v>
      </c>
      <c r="F80" s="7">
        <v>8</v>
      </c>
      <c r="G80" s="7" t="s">
        <v>430</v>
      </c>
    </row>
    <row r="81" spans="2:7" ht="39.6" customHeight="1">
      <c r="B81" s="414"/>
      <c r="C81" s="7" t="s">
        <v>409</v>
      </c>
      <c r="D81" s="47">
        <v>0</v>
      </c>
      <c r="E81" s="230">
        <v>0.68</v>
      </c>
      <c r="F81" s="220">
        <v>0</v>
      </c>
      <c r="G81" s="80" t="s">
        <v>77</v>
      </c>
    </row>
    <row r="82" spans="2:7" ht="42" customHeight="1">
      <c r="B82" s="414"/>
      <c r="C82" s="7" t="s">
        <v>410</v>
      </c>
      <c r="D82" s="49">
        <v>0</v>
      </c>
      <c r="E82" s="104">
        <v>2.48</v>
      </c>
      <c r="F82" s="224">
        <v>0</v>
      </c>
      <c r="G82" s="80" t="s">
        <v>77</v>
      </c>
    </row>
    <row r="83" spans="2:7" ht="47.25" customHeight="1">
      <c r="B83" s="415"/>
      <c r="C83" s="7" t="s">
        <v>411</v>
      </c>
      <c r="D83" s="49">
        <v>0</v>
      </c>
      <c r="E83" s="104">
        <v>7.44</v>
      </c>
      <c r="F83" s="224">
        <v>0</v>
      </c>
      <c r="G83" s="80" t="s">
        <v>77</v>
      </c>
    </row>
    <row r="84" spans="2:7" ht="33" customHeight="1">
      <c r="B84" s="92" t="s">
        <v>33</v>
      </c>
      <c r="C84" s="92"/>
      <c r="D84" s="105">
        <f>SUM(D62:D83)</f>
        <v>1109.0899999999999</v>
      </c>
      <c r="E84" s="105">
        <f>SUM(E62:E83)</f>
        <v>60.569999999999986</v>
      </c>
      <c r="F84" s="110">
        <f>SUM(F62:F83)</f>
        <v>83</v>
      </c>
      <c r="G84" s="89"/>
    </row>
    <row r="85" spans="2:7" ht="24.75" customHeight="1">
      <c r="B85" s="416" t="s">
        <v>61</v>
      </c>
      <c r="C85" s="416"/>
      <c r="D85" s="416"/>
      <c r="E85" s="416"/>
      <c r="F85" s="416"/>
      <c r="G85" s="416"/>
    </row>
    <row r="86" spans="2:7" ht="53.25" customHeight="1">
      <c r="B86" s="86" t="s">
        <v>4</v>
      </c>
      <c r="C86" s="86" t="s">
        <v>62</v>
      </c>
      <c r="D86" s="86" t="s">
        <v>6</v>
      </c>
      <c r="E86" s="86" t="s">
        <v>63</v>
      </c>
      <c r="F86" s="86" t="s">
        <v>8</v>
      </c>
      <c r="G86" s="87" t="s">
        <v>64</v>
      </c>
    </row>
    <row r="87" spans="2:7" ht="28.8">
      <c r="B87" s="18" t="s">
        <v>65</v>
      </c>
      <c r="C87" s="93"/>
      <c r="D87" s="49">
        <v>0</v>
      </c>
      <c r="E87" s="49">
        <v>0</v>
      </c>
      <c r="F87" s="224">
        <v>0</v>
      </c>
      <c r="G87" s="80" t="s">
        <v>77</v>
      </c>
    </row>
    <row r="88" spans="2:7" ht="29.25" customHeight="1">
      <c r="B88" s="96" t="s">
        <v>33</v>
      </c>
      <c r="C88" s="97"/>
      <c r="D88" s="51">
        <f>SUM(D87)</f>
        <v>0</v>
      </c>
      <c r="E88" s="51">
        <f>SUM(E87)</f>
        <v>0</v>
      </c>
      <c r="F88" s="82">
        <f>SUM(F87)</f>
        <v>0</v>
      </c>
      <c r="G88" s="21"/>
    </row>
    <row r="89" spans="2:7" ht="90" customHeight="1">
      <c r="B89" s="405" t="s">
        <v>136</v>
      </c>
      <c r="C89" s="7" t="s">
        <v>412</v>
      </c>
      <c r="D89" s="47">
        <v>5344.67</v>
      </c>
      <c r="E89" s="47">
        <v>5540</v>
      </c>
      <c r="F89" s="6">
        <v>95</v>
      </c>
      <c r="G89" s="21"/>
    </row>
    <row r="90" spans="2:7" ht="24" customHeight="1">
      <c r="B90" s="405"/>
      <c r="C90" s="7" t="s">
        <v>413</v>
      </c>
      <c r="D90" s="47">
        <v>3580</v>
      </c>
      <c r="E90" s="47">
        <v>3600</v>
      </c>
      <c r="F90" s="7">
        <v>63</v>
      </c>
      <c r="G90" s="21"/>
    </row>
    <row r="91" spans="2:7" ht="39" customHeight="1">
      <c r="B91" s="96" t="s">
        <v>33</v>
      </c>
      <c r="C91" s="97"/>
      <c r="D91" s="109">
        <f>SUM(D89:D90)</f>
        <v>8924.67</v>
      </c>
      <c r="E91" s="109">
        <f>SUM(E89:E90)</f>
        <v>9140</v>
      </c>
      <c r="F91" s="114">
        <f>SUM(F89:F90)</f>
        <v>158</v>
      </c>
      <c r="G91" s="21"/>
    </row>
    <row r="92" spans="2:7" ht="56.4" customHeight="1">
      <c r="B92" s="406" t="s">
        <v>70</v>
      </c>
      <c r="C92" s="225" t="s">
        <v>414</v>
      </c>
      <c r="D92" s="49">
        <v>709.58</v>
      </c>
      <c r="E92" s="49">
        <v>352.85</v>
      </c>
      <c r="F92" s="224">
        <v>3</v>
      </c>
      <c r="G92" s="7" t="s">
        <v>415</v>
      </c>
    </row>
    <row r="93" spans="2:7" ht="30.6" customHeight="1">
      <c r="B93" s="406"/>
      <c r="C93" s="225" t="s">
        <v>416</v>
      </c>
      <c r="D93" s="47">
        <v>416.09</v>
      </c>
      <c r="E93" s="49">
        <v>411.57</v>
      </c>
      <c r="F93" s="224">
        <v>2</v>
      </c>
      <c r="G93" s="7" t="s">
        <v>417</v>
      </c>
    </row>
    <row r="94" spans="2:7" ht="61.8" customHeight="1">
      <c r="B94" s="406"/>
      <c r="C94" s="225" t="s">
        <v>418</v>
      </c>
      <c r="D94" s="47">
        <v>61506.57</v>
      </c>
      <c r="E94" s="49">
        <v>21542.98</v>
      </c>
      <c r="F94" s="224">
        <v>3</v>
      </c>
      <c r="G94" s="7" t="s">
        <v>419</v>
      </c>
    </row>
    <row r="95" spans="2:7" ht="45" customHeight="1">
      <c r="B95" s="96" t="s">
        <v>33</v>
      </c>
      <c r="C95" s="97"/>
      <c r="D95" s="105">
        <f>SUM(D92:D94)</f>
        <v>62632.24</v>
      </c>
      <c r="E95" s="105">
        <f>SUM(E92:E94)</f>
        <v>22307.4</v>
      </c>
      <c r="F95" s="232">
        <f>SUM(F92:F94)</f>
        <v>8</v>
      </c>
      <c r="G95" s="21"/>
    </row>
    <row r="96" spans="2:7" ht="60" customHeight="1">
      <c r="B96" s="406" t="s">
        <v>73</v>
      </c>
      <c r="C96" s="202" t="s">
        <v>420</v>
      </c>
      <c r="D96" s="47">
        <v>852</v>
      </c>
      <c r="E96" s="49">
        <v>852</v>
      </c>
      <c r="F96" s="224">
        <v>2</v>
      </c>
      <c r="G96" s="7" t="s">
        <v>421</v>
      </c>
    </row>
    <row r="97" spans="2:7" ht="45" customHeight="1">
      <c r="B97" s="406"/>
      <c r="C97" s="7" t="s">
        <v>422</v>
      </c>
      <c r="D97" s="49">
        <v>0</v>
      </c>
      <c r="E97" s="49">
        <v>7942.93</v>
      </c>
      <c r="F97" s="224">
        <v>1</v>
      </c>
      <c r="G97" s="7" t="s">
        <v>423</v>
      </c>
    </row>
    <row r="98" spans="2:7" ht="45" customHeight="1">
      <c r="B98" s="406"/>
      <c r="C98" s="7" t="s">
        <v>424</v>
      </c>
      <c r="D98" s="49">
        <v>0</v>
      </c>
      <c r="E98" s="49">
        <v>7910</v>
      </c>
      <c r="F98" s="224">
        <v>1</v>
      </c>
      <c r="G98" s="7" t="s">
        <v>425</v>
      </c>
    </row>
    <row r="99" spans="2:7" ht="45" customHeight="1">
      <c r="B99" s="406"/>
      <c r="C99" s="7" t="s">
        <v>426</v>
      </c>
      <c r="D99" s="49">
        <v>0</v>
      </c>
      <c r="E99" s="49">
        <v>3450</v>
      </c>
      <c r="F99" s="224">
        <v>1</v>
      </c>
      <c r="G99" s="7" t="s">
        <v>427</v>
      </c>
    </row>
    <row r="100" spans="2:7" ht="45" customHeight="1">
      <c r="B100" s="406"/>
      <c r="C100" s="202" t="s">
        <v>428</v>
      </c>
      <c r="D100" s="49">
        <v>0</v>
      </c>
      <c r="E100" s="49">
        <v>0</v>
      </c>
      <c r="F100" s="224">
        <v>1</v>
      </c>
      <c r="G100" s="7" t="s">
        <v>430</v>
      </c>
    </row>
    <row r="101" spans="2:7" ht="41.4" customHeight="1">
      <c r="B101" s="406"/>
      <c r="C101" s="7" t="s">
        <v>429</v>
      </c>
      <c r="D101" s="49">
        <v>0</v>
      </c>
      <c r="E101" s="49">
        <v>0</v>
      </c>
      <c r="F101" s="224">
        <v>1</v>
      </c>
      <c r="G101" s="7" t="s">
        <v>430</v>
      </c>
    </row>
    <row r="102" spans="2:7" ht="45" customHeight="1">
      <c r="B102" s="406"/>
      <c r="C102" s="7" t="s">
        <v>431</v>
      </c>
      <c r="D102" s="49">
        <v>0</v>
      </c>
      <c r="E102" s="49">
        <v>1653.75</v>
      </c>
      <c r="F102" s="224">
        <v>1</v>
      </c>
      <c r="G102" s="7" t="s">
        <v>432</v>
      </c>
    </row>
    <row r="103" spans="2:7" ht="57" customHeight="1">
      <c r="B103" s="406"/>
      <c r="C103" s="7" t="s">
        <v>433</v>
      </c>
      <c r="D103" s="49">
        <v>0</v>
      </c>
      <c r="E103" s="49">
        <v>0</v>
      </c>
      <c r="F103" s="224">
        <v>1</v>
      </c>
      <c r="G103" s="7" t="s">
        <v>430</v>
      </c>
    </row>
    <row r="104" spans="2:7" ht="45" customHeight="1">
      <c r="B104" s="406"/>
      <c r="C104" s="7" t="s">
        <v>434</v>
      </c>
      <c r="D104" s="49">
        <v>0</v>
      </c>
      <c r="E104" s="49">
        <v>1330.93</v>
      </c>
      <c r="F104" s="224">
        <v>1</v>
      </c>
      <c r="G104" s="7" t="s">
        <v>435</v>
      </c>
    </row>
    <row r="105" spans="2:7" ht="21" customHeight="1">
      <c r="B105" s="406"/>
      <c r="C105" s="7" t="s">
        <v>436</v>
      </c>
      <c r="D105" s="49">
        <v>0</v>
      </c>
      <c r="E105" s="49">
        <v>0</v>
      </c>
      <c r="F105" s="224">
        <v>1</v>
      </c>
      <c r="G105" s="7" t="s">
        <v>430</v>
      </c>
    </row>
    <row r="106" spans="2:7" ht="30.75" customHeight="1">
      <c r="B106" s="406"/>
      <c r="C106" s="7" t="s">
        <v>437</v>
      </c>
      <c r="D106" s="47">
        <v>3637.5</v>
      </c>
      <c r="E106" s="49">
        <v>1818.75</v>
      </c>
      <c r="F106" s="224">
        <v>2</v>
      </c>
      <c r="G106" s="7" t="s">
        <v>438</v>
      </c>
    </row>
    <row r="107" spans="2:7" ht="15.6">
      <c r="B107" s="96" t="s">
        <v>33</v>
      </c>
      <c r="C107" s="229"/>
      <c r="D107" s="105">
        <f>SUM(D96:D106)</f>
        <v>4489.5</v>
      </c>
      <c r="E107" s="105">
        <f>SUM(E96:E106)</f>
        <v>24958.36</v>
      </c>
      <c r="F107" s="232">
        <f>SUM(F96:F106)</f>
        <v>13</v>
      </c>
      <c r="G107" s="21"/>
    </row>
    <row r="108" spans="2:7" ht="25.2" customHeight="1">
      <c r="B108" s="18" t="s">
        <v>74</v>
      </c>
      <c r="C108" s="31"/>
      <c r="D108" s="49">
        <v>0</v>
      </c>
      <c r="E108" s="49">
        <v>0</v>
      </c>
      <c r="F108" s="224">
        <v>0</v>
      </c>
      <c r="G108" s="80" t="s">
        <v>77</v>
      </c>
    </row>
    <row r="109" spans="2:7" ht="15.6">
      <c r="B109" s="28" t="s">
        <v>33</v>
      </c>
      <c r="C109" s="29"/>
      <c r="D109" s="51">
        <f>SUM(D108)</f>
        <v>0</v>
      </c>
      <c r="E109" s="51">
        <f>SUM(E108)</f>
        <v>0</v>
      </c>
      <c r="F109" s="82">
        <f>SUM(F108)</f>
        <v>0</v>
      </c>
      <c r="G109" s="21"/>
    </row>
    <row r="110" spans="2:7" ht="16.95" customHeight="1">
      <c r="B110" s="386"/>
      <c r="C110" s="386"/>
      <c r="D110" s="386"/>
      <c r="E110" s="386"/>
      <c r="F110" s="386"/>
      <c r="G110" s="386"/>
    </row>
    <row r="111" spans="2:7" ht="43.2" customHeight="1">
      <c r="B111" s="15" t="s">
        <v>75</v>
      </c>
      <c r="C111" s="29"/>
      <c r="D111" s="109">
        <f>D61+D84+D88+D91+D95+D107+D109</f>
        <v>122364.16</v>
      </c>
      <c r="E111" s="109">
        <f>E61+E84+E88+E91+E95+E107+E109</f>
        <v>56943.33</v>
      </c>
      <c r="F111" s="114">
        <f>F61+F84+F88+F91+F95+F107+F109</f>
        <v>609</v>
      </c>
      <c r="G111" s="21"/>
    </row>
    <row r="112" spans="2:7" ht="17.399999999999999" customHeight="1">
      <c r="B112" s="226"/>
      <c r="C112" s="227"/>
      <c r="D112" s="117"/>
      <c r="E112" s="117"/>
      <c r="F112" s="228"/>
    </row>
    <row r="113" spans="2:7">
      <c r="B113" s="33" t="s">
        <v>442</v>
      </c>
    </row>
    <row r="114" spans="2:7" ht="9" customHeight="1">
      <c r="B114" s="33"/>
    </row>
    <row r="115" spans="2:7" ht="15" customHeight="1">
      <c r="B115" s="404" t="s">
        <v>439</v>
      </c>
      <c r="C115" s="404"/>
      <c r="D115" s="404"/>
      <c r="E115" s="404"/>
    </row>
    <row r="116" spans="2:7">
      <c r="B116" s="404" t="s">
        <v>440</v>
      </c>
      <c r="C116" s="404"/>
      <c r="D116" s="404"/>
      <c r="E116" s="404"/>
      <c r="F116" s="404"/>
      <c r="G116" s="404"/>
    </row>
    <row r="117" spans="2:7">
      <c r="B117" s="404" t="s">
        <v>441</v>
      </c>
      <c r="C117" s="404"/>
      <c r="D117" s="404"/>
      <c r="E117" s="404"/>
    </row>
    <row r="118" spans="2:7">
      <c r="B118" s="343"/>
      <c r="C118" s="343"/>
      <c r="D118" s="343"/>
    </row>
    <row r="119" spans="2:7">
      <c r="B119" t="s">
        <v>79</v>
      </c>
    </row>
    <row r="120" spans="2:7" ht="15.75" customHeight="1"/>
  </sheetData>
  <mergeCells count="15">
    <mergeCell ref="B85:G85"/>
    <mergeCell ref="B4:G4"/>
    <mergeCell ref="B5:G5"/>
    <mergeCell ref="B6:G6"/>
    <mergeCell ref="B8:B60"/>
    <mergeCell ref="B62:B83"/>
    <mergeCell ref="B117:E117"/>
    <mergeCell ref="B118:D118"/>
    <mergeCell ref="B89:B90"/>
    <mergeCell ref="B92:B94"/>
    <mergeCell ref="B96:B106"/>
    <mergeCell ref="B110:G110"/>
    <mergeCell ref="B115:E115"/>
    <mergeCell ref="B116:E116"/>
    <mergeCell ref="F116:G1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76A9-EC86-4777-B58A-0410C910D604}">
  <dimension ref="A1:J132"/>
  <sheetViews>
    <sheetView topLeftCell="A117" workbookViewId="0">
      <selection activeCell="D119" sqref="D119"/>
    </sheetView>
  </sheetViews>
  <sheetFormatPr defaultColWidth="9.109375" defaultRowHeight="14.4"/>
  <cols>
    <col min="1" max="1" width="3.44140625" style="239" customWidth="1"/>
    <col min="2" max="2" width="45.109375" style="33" customWidth="1"/>
    <col min="3" max="3" width="31.109375" style="237" customWidth="1"/>
    <col min="4" max="4" width="16.6640625" style="239" customWidth="1"/>
    <col min="5" max="5" width="19.109375" style="239" customWidth="1"/>
    <col min="6" max="6" width="15.33203125" style="239" customWidth="1"/>
    <col min="7" max="7" width="32.6640625" style="239" customWidth="1"/>
    <col min="8" max="8" width="28.109375" style="239" customWidth="1"/>
    <col min="9" max="16384" width="9.109375" style="239"/>
  </cols>
  <sheetData>
    <row r="1" spans="2:8" s="234" customFormat="1" ht="30" customHeight="1">
      <c r="B1" t="s">
        <v>0</v>
      </c>
      <c r="C1" s="233"/>
      <c r="G1" s="36"/>
    </row>
    <row r="2" spans="2:8" s="234" customFormat="1" ht="25.5" customHeight="1">
      <c r="B2" t="s">
        <v>1</v>
      </c>
      <c r="C2" s="233"/>
      <c r="D2" s="235"/>
      <c r="E2" s="235"/>
      <c r="G2" s="36"/>
    </row>
    <row r="3" spans="2:8" ht="12.75" customHeight="1">
      <c r="B3" s="236"/>
      <c r="D3" s="238"/>
      <c r="E3" s="238"/>
    </row>
    <row r="4" spans="2:8" ht="32.25" customHeight="1">
      <c r="B4" s="421" t="s">
        <v>443</v>
      </c>
      <c r="C4" s="421"/>
      <c r="D4" s="421"/>
      <c r="E4" s="421"/>
      <c r="F4" s="421"/>
      <c r="G4" s="421"/>
    </row>
    <row r="5" spans="2:8" ht="31.5" customHeight="1">
      <c r="B5" s="421" t="s">
        <v>444</v>
      </c>
      <c r="C5" s="421"/>
      <c r="D5" s="421"/>
      <c r="E5" s="421"/>
      <c r="F5" s="421"/>
      <c r="G5" s="421"/>
    </row>
    <row r="6" spans="2:8" ht="26.25" customHeight="1">
      <c r="B6" s="422" t="s">
        <v>3</v>
      </c>
      <c r="C6" s="422"/>
      <c r="D6" s="422"/>
      <c r="E6" s="422"/>
      <c r="F6" s="422"/>
      <c r="G6" s="422"/>
    </row>
    <row r="7" spans="2:8" s="241" customFormat="1" ht="55.5" customHeight="1">
      <c r="B7" s="240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</row>
    <row r="8" spans="2:8" s="241" customFormat="1" ht="36.75" customHeight="1">
      <c r="B8" s="417" t="s">
        <v>445</v>
      </c>
      <c r="C8" s="242" t="s">
        <v>446</v>
      </c>
      <c r="D8" s="243">
        <f>2080.99+575.59+177.11+782.22+1813.49+2166.75+861.35</f>
        <v>8457.5</v>
      </c>
      <c r="E8" s="243">
        <v>5.27</v>
      </c>
      <c r="F8" s="10">
        <v>7</v>
      </c>
      <c r="G8" s="10"/>
    </row>
    <row r="9" spans="2:8" s="241" customFormat="1" ht="36.75" customHeight="1">
      <c r="B9" s="418"/>
      <c r="C9" s="242" t="s">
        <v>446</v>
      </c>
      <c r="D9" s="243">
        <f>240.75+509.59+118.77+372.36+620.33+49.76</f>
        <v>1911.5599999999997</v>
      </c>
      <c r="E9" s="243">
        <v>5.35</v>
      </c>
      <c r="F9" s="10">
        <v>6</v>
      </c>
      <c r="G9" s="10"/>
    </row>
    <row r="10" spans="2:8" s="241" customFormat="1" ht="36.75" customHeight="1">
      <c r="B10" s="418"/>
      <c r="C10" s="242" t="s">
        <v>447</v>
      </c>
      <c r="D10" s="243">
        <f>1035+402.5+402.5</f>
        <v>1840</v>
      </c>
      <c r="E10" s="243">
        <v>1.25</v>
      </c>
      <c r="F10" s="10">
        <v>2</v>
      </c>
      <c r="G10" s="10"/>
    </row>
    <row r="11" spans="2:8" s="241" customFormat="1" ht="36.75" customHeight="1">
      <c r="B11" s="418"/>
      <c r="C11" s="242" t="s">
        <v>448</v>
      </c>
      <c r="D11" s="243">
        <f>861.35+2166.75</f>
        <v>3028.1</v>
      </c>
      <c r="E11" s="243">
        <v>5.35</v>
      </c>
      <c r="F11" s="10">
        <v>2</v>
      </c>
      <c r="G11" s="10"/>
    </row>
    <row r="12" spans="2:8" s="241" customFormat="1" ht="29.25" customHeight="1">
      <c r="B12" s="423"/>
      <c r="C12" s="242" t="s">
        <v>449</v>
      </c>
      <c r="D12" s="244">
        <v>1333.83</v>
      </c>
      <c r="E12" s="243">
        <v>5.27</v>
      </c>
      <c r="F12" s="10">
        <v>3</v>
      </c>
      <c r="G12" s="10"/>
    </row>
    <row r="13" spans="2:8" s="241" customFormat="1" ht="29.25" customHeight="1">
      <c r="B13" s="423"/>
      <c r="C13" s="242" t="s">
        <v>449</v>
      </c>
      <c r="D13" s="244">
        <f>353.1+716.9+81.86+556.94</f>
        <v>1708.8</v>
      </c>
      <c r="E13" s="243">
        <v>5.35</v>
      </c>
      <c r="F13" s="10">
        <v>4</v>
      </c>
      <c r="G13" s="10"/>
      <c r="H13" s="245"/>
    </row>
    <row r="14" spans="2:8" s="241" customFormat="1" ht="29.25" customHeight="1">
      <c r="B14" s="423"/>
      <c r="C14" s="246" t="s">
        <v>450</v>
      </c>
      <c r="D14" s="243">
        <f>81.15+186.89</f>
        <v>268.03999999999996</v>
      </c>
      <c r="E14" s="243">
        <v>3.51</v>
      </c>
      <c r="F14" s="10">
        <v>2</v>
      </c>
      <c r="G14" s="10"/>
    </row>
    <row r="15" spans="2:8" s="241" customFormat="1" ht="29.25" customHeight="1">
      <c r="B15" s="423"/>
      <c r="C15" s="246" t="s">
        <v>450</v>
      </c>
      <c r="D15" s="243">
        <f>355.04+35.34+159.58+35.34</f>
        <v>585.30000000000007</v>
      </c>
      <c r="E15" s="243">
        <v>3.57</v>
      </c>
      <c r="F15" s="10">
        <v>4</v>
      </c>
      <c r="G15" s="10"/>
    </row>
    <row r="16" spans="2:8" s="241" customFormat="1" ht="29.25" customHeight="1">
      <c r="B16" s="423"/>
      <c r="C16" s="247" t="s">
        <v>451</v>
      </c>
      <c r="D16" s="243">
        <f>424.19+90.99+157.38+429.99+181.97</f>
        <v>1284.52</v>
      </c>
      <c r="E16" s="243">
        <v>3.51</v>
      </c>
      <c r="F16" s="10">
        <v>7</v>
      </c>
      <c r="G16" s="10"/>
    </row>
    <row r="17" spans="2:8" s="241" customFormat="1" ht="29.25" customHeight="1">
      <c r="B17" s="423"/>
      <c r="C17" s="247" t="s">
        <v>451</v>
      </c>
      <c r="D17" s="243">
        <f>33.2+68.54+80.33+287.03</f>
        <v>469.09999999999997</v>
      </c>
      <c r="E17" s="243">
        <v>3.57</v>
      </c>
      <c r="F17" s="10">
        <v>4</v>
      </c>
      <c r="G17" s="10"/>
    </row>
    <row r="18" spans="2:8" s="241" customFormat="1" ht="29.25" customHeight="1">
      <c r="B18" s="423"/>
      <c r="C18" s="247" t="s">
        <v>452</v>
      </c>
      <c r="D18" s="244">
        <f>84.38+24.11</f>
        <v>108.49</v>
      </c>
      <c r="E18" s="243">
        <v>1.23</v>
      </c>
      <c r="F18" s="10">
        <v>3</v>
      </c>
      <c r="G18" s="10"/>
    </row>
    <row r="19" spans="2:8" s="241" customFormat="1" ht="29.25" customHeight="1">
      <c r="B19" s="423"/>
      <c r="C19" s="247" t="s">
        <v>452</v>
      </c>
      <c r="D19" s="244">
        <f>48.36+47.63+40+14.38</f>
        <v>150.37</v>
      </c>
      <c r="E19" s="243">
        <v>4.16</v>
      </c>
      <c r="F19" s="10">
        <v>4</v>
      </c>
      <c r="G19" s="10"/>
      <c r="H19" s="245"/>
    </row>
    <row r="20" spans="2:8" s="241" customFormat="1" ht="29.25" customHeight="1">
      <c r="B20" s="423"/>
      <c r="C20" s="247" t="s">
        <v>453</v>
      </c>
      <c r="D20" s="243">
        <v>71.75</v>
      </c>
      <c r="E20" s="243">
        <v>4.0999999999999996</v>
      </c>
      <c r="F20" s="10">
        <v>1</v>
      </c>
      <c r="G20" s="10"/>
    </row>
    <row r="21" spans="2:8" s="241" customFormat="1" ht="29.25" customHeight="1">
      <c r="B21" s="423"/>
      <c r="C21" s="242" t="s">
        <v>454</v>
      </c>
      <c r="D21" s="243">
        <f>147.55+147.55+167.22+88.53</f>
        <v>550.85</v>
      </c>
      <c r="E21" s="243">
        <v>4.68</v>
      </c>
      <c r="F21" s="10">
        <v>5</v>
      </c>
      <c r="G21" s="10"/>
    </row>
    <row r="22" spans="2:8" s="241" customFormat="1" ht="29.25" customHeight="1">
      <c r="B22" s="423"/>
      <c r="C22" s="242" t="s">
        <v>454</v>
      </c>
      <c r="D22" s="243">
        <v>44.98</v>
      </c>
      <c r="E22" s="243">
        <v>3.57</v>
      </c>
      <c r="F22" s="10">
        <v>1</v>
      </c>
      <c r="G22" s="10"/>
    </row>
    <row r="23" spans="2:8" s="241" customFormat="1" ht="29.25" customHeight="1">
      <c r="B23" s="423"/>
      <c r="C23" s="417" t="s">
        <v>455</v>
      </c>
      <c r="D23" s="244">
        <f>42.98+75.77</f>
        <v>118.75</v>
      </c>
      <c r="E23" s="244">
        <v>1.64</v>
      </c>
      <c r="F23" s="248">
        <v>4</v>
      </c>
      <c r="G23" s="10"/>
    </row>
    <row r="24" spans="2:8" s="241" customFormat="1" ht="29.25" customHeight="1">
      <c r="B24" s="423"/>
      <c r="C24" s="419"/>
      <c r="D24" s="243">
        <v>83.23</v>
      </c>
      <c r="E24" s="244">
        <v>4.0999999999999996</v>
      </c>
      <c r="F24" s="248">
        <v>2</v>
      </c>
      <c r="G24" s="10"/>
    </row>
    <row r="25" spans="2:8" s="241" customFormat="1" ht="29.25" customHeight="1">
      <c r="B25" s="423"/>
      <c r="C25" s="249" t="s">
        <v>455</v>
      </c>
      <c r="D25" s="243">
        <f>14.04+12.38+180</f>
        <v>206.42000000000002</v>
      </c>
      <c r="E25" s="244">
        <v>1.25</v>
      </c>
      <c r="F25" s="248">
        <v>3</v>
      </c>
      <c r="G25" s="10"/>
    </row>
    <row r="26" spans="2:8" s="241" customFormat="1" ht="29.25" customHeight="1">
      <c r="B26" s="423"/>
      <c r="C26" s="249" t="s">
        <v>455</v>
      </c>
      <c r="D26" s="243">
        <f>52.42+357.76</f>
        <v>410.18</v>
      </c>
      <c r="E26" s="244">
        <v>4.16</v>
      </c>
      <c r="F26" s="248">
        <v>2</v>
      </c>
      <c r="G26" s="10"/>
      <c r="H26" s="245"/>
    </row>
    <row r="27" spans="2:8" s="241" customFormat="1" ht="29.25" customHeight="1">
      <c r="B27" s="423"/>
      <c r="C27" s="242" t="s">
        <v>456</v>
      </c>
      <c r="D27" s="243">
        <f>64.96+12.65+47.24</f>
        <v>124.85</v>
      </c>
      <c r="E27" s="244">
        <v>2.81</v>
      </c>
      <c r="F27" s="248">
        <v>3</v>
      </c>
      <c r="G27" s="10"/>
    </row>
    <row r="28" spans="2:8" s="241" customFormat="1" ht="29.25" customHeight="1">
      <c r="B28" s="423"/>
      <c r="C28" s="242" t="s">
        <v>456</v>
      </c>
      <c r="D28" s="243">
        <f>22.5+20.54+86.67+16.02</f>
        <v>145.73000000000002</v>
      </c>
      <c r="E28" s="244">
        <v>2.14</v>
      </c>
      <c r="F28" s="248">
        <v>3</v>
      </c>
      <c r="G28" s="10"/>
    </row>
    <row r="29" spans="2:8" s="241" customFormat="1" ht="29.25" customHeight="1">
      <c r="B29" s="423"/>
      <c r="C29" s="242" t="s">
        <v>457</v>
      </c>
      <c r="D29" s="244">
        <v>0</v>
      </c>
      <c r="E29" s="244">
        <v>7.03</v>
      </c>
      <c r="F29" s="248">
        <v>1</v>
      </c>
      <c r="G29" s="10"/>
    </row>
    <row r="30" spans="2:8" s="241" customFormat="1" ht="29.25" customHeight="1">
      <c r="B30" s="423"/>
      <c r="C30" s="242" t="s">
        <v>458</v>
      </c>
      <c r="D30" s="243">
        <v>0</v>
      </c>
      <c r="E30" s="244">
        <v>7.03</v>
      </c>
      <c r="F30" s="248">
        <v>1</v>
      </c>
      <c r="G30" s="10"/>
    </row>
    <row r="31" spans="2:8" s="241" customFormat="1" ht="29.25" customHeight="1">
      <c r="B31" s="423"/>
      <c r="C31" s="247" t="s">
        <v>459</v>
      </c>
      <c r="D31" s="243">
        <f>300.01+209.84+111.48</f>
        <v>621.33000000000004</v>
      </c>
      <c r="E31" s="243">
        <v>4.68</v>
      </c>
      <c r="F31" s="10">
        <v>3</v>
      </c>
      <c r="G31" s="10"/>
    </row>
    <row r="32" spans="2:8" s="241" customFormat="1" ht="29.25" customHeight="1">
      <c r="B32" s="423"/>
      <c r="C32" s="247" t="s">
        <v>459</v>
      </c>
      <c r="D32" s="243">
        <f>69.62</f>
        <v>69.62</v>
      </c>
      <c r="E32" s="243">
        <v>3.57</v>
      </c>
      <c r="F32" s="10">
        <v>1</v>
      </c>
      <c r="G32" s="10"/>
    </row>
    <row r="33" spans="2:7" s="241" customFormat="1" ht="29.25" customHeight="1">
      <c r="B33" s="423"/>
      <c r="C33" s="247" t="s">
        <v>460</v>
      </c>
      <c r="D33" s="244">
        <f>53.38+36.74+78.06</f>
        <v>168.18</v>
      </c>
      <c r="E33" s="243">
        <v>1.64</v>
      </c>
      <c r="F33" s="10">
        <v>3</v>
      </c>
      <c r="G33" s="10"/>
    </row>
    <row r="34" spans="2:7" s="241" customFormat="1" ht="29.25" customHeight="1">
      <c r="B34" s="423"/>
      <c r="C34" s="247" t="s">
        <v>460</v>
      </c>
      <c r="D34" s="244">
        <f>18+12</f>
        <v>30</v>
      </c>
      <c r="E34" s="243">
        <v>1.25</v>
      </c>
      <c r="F34" s="10">
        <v>2</v>
      </c>
      <c r="G34" s="10"/>
    </row>
    <row r="35" spans="2:7" s="241" customFormat="1" ht="29.25" customHeight="1">
      <c r="B35" s="423"/>
      <c r="C35" s="247" t="s">
        <v>461</v>
      </c>
      <c r="D35" s="243">
        <f>75.77+58.55</f>
        <v>134.32</v>
      </c>
      <c r="E35" s="243">
        <v>1.64</v>
      </c>
      <c r="F35" s="122">
        <v>2</v>
      </c>
      <c r="G35" s="10"/>
    </row>
    <row r="36" spans="2:7" s="241" customFormat="1" ht="29.25" customHeight="1">
      <c r="B36" s="423"/>
      <c r="C36" s="247" t="s">
        <v>461</v>
      </c>
      <c r="D36" s="243">
        <v>48</v>
      </c>
      <c r="E36" s="243">
        <v>1.25</v>
      </c>
      <c r="F36" s="122">
        <v>1</v>
      </c>
      <c r="G36" s="10"/>
    </row>
    <row r="37" spans="2:7" s="241" customFormat="1" ht="29.25" customHeight="1">
      <c r="B37" s="423"/>
      <c r="C37" s="246" t="s">
        <v>461</v>
      </c>
      <c r="D37" s="243">
        <v>516.6</v>
      </c>
      <c r="E37" s="243">
        <v>4.0999999999999996</v>
      </c>
      <c r="F37" s="122">
        <v>1</v>
      </c>
      <c r="G37" s="10"/>
    </row>
    <row r="38" spans="2:7" s="241" customFormat="1" ht="29.25" customHeight="1">
      <c r="B38" s="423"/>
      <c r="C38" s="246" t="s">
        <v>461</v>
      </c>
      <c r="D38" s="243">
        <v>224.64</v>
      </c>
      <c r="E38" s="243">
        <v>4.16</v>
      </c>
      <c r="F38" s="122">
        <v>1</v>
      </c>
      <c r="G38" s="10"/>
    </row>
    <row r="39" spans="2:7" s="241" customFormat="1" ht="29.25" customHeight="1">
      <c r="B39" s="423"/>
      <c r="C39" s="247" t="s">
        <v>462</v>
      </c>
      <c r="D39" s="244">
        <v>216.4</v>
      </c>
      <c r="E39" s="243">
        <v>4.68</v>
      </c>
      <c r="F39" s="10">
        <v>1</v>
      </c>
      <c r="G39" s="10"/>
    </row>
    <row r="40" spans="2:7" s="241" customFormat="1" ht="29.25" customHeight="1">
      <c r="B40" s="423"/>
      <c r="C40" s="247" t="s">
        <v>462</v>
      </c>
      <c r="D40" s="244">
        <f>59.44+70.96</f>
        <v>130.39999999999998</v>
      </c>
      <c r="E40" s="243">
        <v>3.57</v>
      </c>
      <c r="F40" s="10">
        <v>2</v>
      </c>
      <c r="G40" s="10"/>
    </row>
    <row r="41" spans="2:7" s="241" customFormat="1" ht="29.25" customHeight="1">
      <c r="B41" s="423"/>
      <c r="C41" s="247" t="s">
        <v>463</v>
      </c>
      <c r="D41" s="243">
        <v>442.89</v>
      </c>
      <c r="E41" s="243">
        <v>7.03</v>
      </c>
      <c r="F41" s="10">
        <v>1</v>
      </c>
      <c r="G41" s="10"/>
    </row>
    <row r="42" spans="2:7" s="241" customFormat="1" ht="29.25" customHeight="1">
      <c r="B42" s="423"/>
      <c r="C42" s="247" t="s">
        <v>463</v>
      </c>
      <c r="D42" s="243">
        <v>192.78</v>
      </c>
      <c r="E42" s="243">
        <v>7.14</v>
      </c>
      <c r="F42" s="10">
        <v>1</v>
      </c>
      <c r="G42" s="10"/>
    </row>
    <row r="43" spans="2:7" s="241" customFormat="1" ht="29.25" customHeight="1">
      <c r="B43" s="423"/>
      <c r="C43" s="247" t="s">
        <v>464</v>
      </c>
      <c r="D43" s="243">
        <f>32.14</f>
        <v>32.14</v>
      </c>
      <c r="E43" s="243">
        <v>1.64</v>
      </c>
      <c r="F43" s="10">
        <v>1</v>
      </c>
      <c r="G43" s="10"/>
    </row>
    <row r="44" spans="2:7" s="241" customFormat="1" ht="29.25" customHeight="1">
      <c r="B44" s="423"/>
      <c r="C44" s="247" t="s">
        <v>464</v>
      </c>
      <c r="D44" s="243">
        <f>42+10.88+10.13</f>
        <v>63.010000000000005</v>
      </c>
      <c r="E44" s="243">
        <v>1.25</v>
      </c>
      <c r="F44" s="10">
        <v>3</v>
      </c>
      <c r="G44" s="10"/>
    </row>
    <row r="45" spans="2:7" s="241" customFormat="1" ht="29.25" customHeight="1">
      <c r="B45" s="423"/>
      <c r="C45" s="247" t="s">
        <v>464</v>
      </c>
      <c r="D45" s="243">
        <f>32.34</f>
        <v>32.340000000000003</v>
      </c>
      <c r="E45" s="243">
        <v>4.16</v>
      </c>
      <c r="F45" s="10">
        <v>1</v>
      </c>
      <c r="G45" s="10"/>
    </row>
    <row r="46" spans="2:7" s="241" customFormat="1" ht="29.25" customHeight="1">
      <c r="B46" s="423"/>
      <c r="C46" s="247" t="s">
        <v>465</v>
      </c>
      <c r="D46" s="243">
        <v>21.11</v>
      </c>
      <c r="E46" s="243">
        <v>2.81</v>
      </c>
      <c r="F46" s="10">
        <v>2</v>
      </c>
      <c r="G46" s="10"/>
    </row>
    <row r="47" spans="2:7" s="241" customFormat="1" ht="29.25" customHeight="1">
      <c r="B47" s="423"/>
      <c r="C47" s="247" t="s">
        <v>465</v>
      </c>
      <c r="D47" s="243">
        <f>27.93+446.83+8.99</f>
        <v>483.75</v>
      </c>
      <c r="E47" s="243">
        <v>2.14</v>
      </c>
      <c r="F47" s="10">
        <v>3</v>
      </c>
      <c r="G47" s="10"/>
    </row>
    <row r="48" spans="2:7" s="241" customFormat="1" ht="29.25" customHeight="1">
      <c r="B48" s="423"/>
      <c r="C48" s="242" t="s">
        <v>466</v>
      </c>
      <c r="D48" s="244">
        <v>1065.22</v>
      </c>
      <c r="E48" s="243">
        <v>7.03</v>
      </c>
      <c r="F48" s="10">
        <v>1</v>
      </c>
      <c r="G48" s="10"/>
    </row>
    <row r="49" spans="2:8" s="241" customFormat="1" ht="29.25" customHeight="1">
      <c r="B49" s="423"/>
      <c r="C49" s="247" t="s">
        <v>467</v>
      </c>
      <c r="D49" s="243">
        <f>14.29+263.77+94.48</f>
        <v>372.54</v>
      </c>
      <c r="E49" s="243">
        <v>2.81</v>
      </c>
      <c r="F49" s="10">
        <v>4</v>
      </c>
      <c r="G49" s="10"/>
    </row>
    <row r="50" spans="2:8" s="241" customFormat="1" ht="29.25" customHeight="1">
      <c r="B50" s="423"/>
      <c r="C50" s="247" t="s">
        <v>467</v>
      </c>
      <c r="D50" s="243">
        <f>28.89+29.85+145.52+282.48</f>
        <v>486.74</v>
      </c>
      <c r="E50" s="243">
        <v>2.14</v>
      </c>
      <c r="F50" s="10">
        <v>4</v>
      </c>
      <c r="G50" s="10"/>
    </row>
    <row r="51" spans="2:8" s="241" customFormat="1" ht="29.25" customHeight="1">
      <c r="B51" s="423"/>
      <c r="C51" s="250" t="s">
        <v>468</v>
      </c>
      <c r="D51" s="243">
        <f>309.85+90.99+1916.87</f>
        <v>2317.71</v>
      </c>
      <c r="E51" s="243">
        <v>3.51</v>
      </c>
      <c r="F51" s="10">
        <v>3</v>
      </c>
      <c r="G51" s="10"/>
    </row>
    <row r="52" spans="2:8" s="241" customFormat="1" ht="29.25" customHeight="1">
      <c r="B52" s="423"/>
      <c r="C52" s="250" t="s">
        <v>468</v>
      </c>
      <c r="D52" s="243">
        <f>149.94+553.71</f>
        <v>703.65000000000009</v>
      </c>
      <c r="E52" s="243">
        <v>3.57</v>
      </c>
      <c r="F52" s="10">
        <v>2</v>
      </c>
      <c r="G52" s="10"/>
      <c r="H52" s="245"/>
    </row>
    <row r="53" spans="2:8" s="241" customFormat="1" ht="29.25" customHeight="1">
      <c r="B53" s="423"/>
      <c r="C53" s="250" t="s">
        <v>469</v>
      </c>
      <c r="D53" s="244">
        <v>1424.63</v>
      </c>
      <c r="E53" s="243">
        <v>2.11</v>
      </c>
      <c r="F53" s="122">
        <v>1</v>
      </c>
      <c r="G53" s="10"/>
    </row>
    <row r="54" spans="2:8" s="241" customFormat="1" ht="29.25" customHeight="1">
      <c r="B54" s="423"/>
      <c r="C54" s="250" t="s">
        <v>469</v>
      </c>
      <c r="D54" s="244">
        <v>364.01</v>
      </c>
      <c r="E54" s="243">
        <v>2.14</v>
      </c>
      <c r="F54" s="122">
        <v>1</v>
      </c>
      <c r="G54" s="10"/>
    </row>
    <row r="55" spans="2:8" s="241" customFormat="1" ht="29.25" customHeight="1">
      <c r="B55" s="423"/>
      <c r="C55" s="247" t="s">
        <v>470</v>
      </c>
      <c r="D55" s="243">
        <f>553.3+184.43+248.37+258.21+334.44</f>
        <v>1578.75</v>
      </c>
      <c r="E55" s="243">
        <v>3.51</v>
      </c>
      <c r="F55" s="10">
        <v>5</v>
      </c>
      <c r="G55" s="10"/>
    </row>
    <row r="56" spans="2:8" s="241" customFormat="1" ht="29.25" customHeight="1">
      <c r="B56" s="423"/>
      <c r="C56" s="247" t="s">
        <v>470</v>
      </c>
      <c r="D56" s="243">
        <f>80.33+108.17+313.8+149.94</f>
        <v>652.24</v>
      </c>
      <c r="E56" s="243">
        <v>3.57</v>
      </c>
      <c r="F56" s="10">
        <v>4</v>
      </c>
      <c r="G56" s="10"/>
      <c r="H56" s="245"/>
    </row>
    <row r="57" spans="2:8" s="241" customFormat="1" ht="29.25" customHeight="1">
      <c r="B57" s="423"/>
      <c r="C57" s="247" t="s">
        <v>471</v>
      </c>
      <c r="D57" s="243">
        <f>39.86+57.58+488.66+68.65+106.29+44.29+45.77</f>
        <v>851.09999999999991</v>
      </c>
      <c r="E57" s="243">
        <v>2.11</v>
      </c>
      <c r="F57" s="10">
        <v>7</v>
      </c>
      <c r="G57" s="10"/>
    </row>
    <row r="58" spans="2:8" s="241" customFormat="1" ht="29.25" customHeight="1">
      <c r="B58" s="423"/>
      <c r="C58" s="247" t="s">
        <v>471</v>
      </c>
      <c r="D58" s="243">
        <f>24.4+139.96+46.22+113.63+18.62+43.66</f>
        <v>386.49</v>
      </c>
      <c r="E58" s="243">
        <v>2.14</v>
      </c>
      <c r="F58" s="10">
        <v>6</v>
      </c>
      <c r="G58" s="10"/>
      <c r="H58" s="245"/>
    </row>
    <row r="59" spans="2:8" s="241" customFormat="1" ht="29.25" customHeight="1">
      <c r="B59" s="423"/>
      <c r="C59" s="247" t="s">
        <v>472</v>
      </c>
      <c r="D59" s="243">
        <v>13.5</v>
      </c>
      <c r="E59" s="243">
        <v>1.25</v>
      </c>
      <c r="F59" s="10">
        <v>1</v>
      </c>
      <c r="G59" s="10"/>
      <c r="H59" s="245"/>
    </row>
    <row r="60" spans="2:8" s="241" customFormat="1" ht="29.25" customHeight="1">
      <c r="B60" s="423"/>
      <c r="C60" s="247" t="s">
        <v>473</v>
      </c>
      <c r="D60" s="244">
        <v>27.55</v>
      </c>
      <c r="E60" s="243">
        <v>1.23</v>
      </c>
      <c r="F60" s="10">
        <v>1</v>
      </c>
      <c r="G60" s="10"/>
    </row>
    <row r="61" spans="2:8" s="241" customFormat="1" ht="29.25" customHeight="1">
      <c r="B61" s="423"/>
      <c r="C61" s="247" t="s">
        <v>474</v>
      </c>
      <c r="D61" s="243">
        <f>454.93+33.69+152.46</f>
        <v>641.08000000000004</v>
      </c>
      <c r="E61" s="243">
        <v>3.51</v>
      </c>
      <c r="F61" s="10">
        <v>3</v>
      </c>
      <c r="G61" s="10"/>
    </row>
    <row r="62" spans="2:8" s="241" customFormat="1" ht="29.25" customHeight="1">
      <c r="B62" s="423"/>
      <c r="C62" s="247" t="s">
        <v>474</v>
      </c>
      <c r="D62" s="243">
        <f>40.7+160.65+321.3+94.93+85.68</f>
        <v>703.26000000000022</v>
      </c>
      <c r="E62" s="243">
        <v>3.57</v>
      </c>
      <c r="F62" s="10">
        <v>5</v>
      </c>
      <c r="G62" s="10"/>
    </row>
    <row r="63" spans="2:8" s="241" customFormat="1" ht="29.25" customHeight="1">
      <c r="B63" s="423"/>
      <c r="C63" s="251" t="s">
        <v>475</v>
      </c>
      <c r="D63" s="243">
        <f>318.45+95.9+179.52+202.88+42.12+81.15+162.3+261.89</f>
        <v>1344.21</v>
      </c>
      <c r="E63" s="243">
        <v>3.51</v>
      </c>
      <c r="F63" s="10">
        <v>8</v>
      </c>
      <c r="G63" s="10"/>
    </row>
    <row r="64" spans="2:8" s="241" customFormat="1" ht="29.25" customHeight="1">
      <c r="B64" s="423"/>
      <c r="C64" s="251" t="s">
        <v>475</v>
      </c>
      <c r="D64" s="243">
        <f>35.34+31.06+68.54+28.92+156.37+79.25</f>
        <v>399.48</v>
      </c>
      <c r="E64" s="243">
        <v>3.57</v>
      </c>
      <c r="F64" s="10">
        <v>6</v>
      </c>
      <c r="G64" s="10"/>
      <c r="H64" s="245"/>
    </row>
    <row r="65" spans="2:7" s="241" customFormat="1" ht="29.25" customHeight="1">
      <c r="B65" s="423"/>
      <c r="C65" s="242" t="s">
        <v>476</v>
      </c>
      <c r="D65" s="244">
        <f>239.76+511.49+1477.98</f>
        <v>2229.23</v>
      </c>
      <c r="E65" s="243">
        <v>3.51</v>
      </c>
      <c r="F65" s="10">
        <v>5</v>
      </c>
      <c r="G65" s="10"/>
    </row>
    <row r="66" spans="2:7" s="241" customFormat="1" ht="29.25" customHeight="1">
      <c r="B66" s="423"/>
      <c r="C66" s="242" t="s">
        <v>476</v>
      </c>
      <c r="D66" s="244">
        <f>222.77+99.6+715.43</f>
        <v>1037.8</v>
      </c>
      <c r="E66" s="243">
        <v>3.57</v>
      </c>
      <c r="F66" s="10">
        <v>3</v>
      </c>
      <c r="G66" s="10"/>
    </row>
    <row r="67" spans="2:7" s="241" customFormat="1" ht="29.25" customHeight="1">
      <c r="B67" s="423"/>
      <c r="C67" s="242" t="s">
        <v>477</v>
      </c>
      <c r="D67" s="244">
        <v>1012.5</v>
      </c>
      <c r="E67" s="243">
        <v>1.25</v>
      </c>
      <c r="F67" s="10">
        <v>1</v>
      </c>
      <c r="G67" s="10"/>
    </row>
    <row r="68" spans="2:7" s="241" customFormat="1" ht="29.25" customHeight="1">
      <c r="B68" s="423"/>
      <c r="C68" s="242" t="s">
        <v>478</v>
      </c>
      <c r="D68" s="244">
        <v>2214.9</v>
      </c>
      <c r="E68" s="243">
        <v>5.35</v>
      </c>
      <c r="F68" s="10">
        <v>1</v>
      </c>
      <c r="G68" s="10"/>
    </row>
    <row r="69" spans="2:7" s="241" customFormat="1" ht="29.25" customHeight="1">
      <c r="B69" s="423"/>
      <c r="C69" s="242" t="s">
        <v>477</v>
      </c>
      <c r="D69" s="243">
        <f>54.07</f>
        <v>54.07</v>
      </c>
      <c r="E69" s="243">
        <v>4.0999999999999996</v>
      </c>
      <c r="F69" s="10">
        <v>1</v>
      </c>
      <c r="G69" s="10"/>
    </row>
    <row r="70" spans="2:7" s="241" customFormat="1" ht="29.25" customHeight="1">
      <c r="B70" s="423"/>
      <c r="C70" s="247" t="s">
        <v>479</v>
      </c>
      <c r="D70" s="243">
        <f>1436.11+66.75</f>
        <v>1502.86</v>
      </c>
      <c r="E70" s="243">
        <v>3.51</v>
      </c>
      <c r="F70" s="10">
        <v>2</v>
      </c>
      <c r="G70" s="10"/>
    </row>
    <row r="71" spans="2:7" s="241" customFormat="1" ht="29.25" customHeight="1">
      <c r="B71" s="423"/>
      <c r="C71" s="247" t="s">
        <v>479</v>
      </c>
      <c r="D71" s="243">
        <f>473.92+140.84+199.92+479.81+14.46</f>
        <v>1308.95</v>
      </c>
      <c r="E71" s="243">
        <v>3.57</v>
      </c>
      <c r="F71" s="10">
        <v>5</v>
      </c>
      <c r="G71" s="10"/>
    </row>
    <row r="72" spans="2:7" s="241" customFormat="1" ht="29.25" customHeight="1">
      <c r="B72" s="423"/>
      <c r="C72" s="247" t="s">
        <v>480</v>
      </c>
      <c r="D72" s="244">
        <f>106.76+145.08+610.08</f>
        <v>861.92000000000007</v>
      </c>
      <c r="E72" s="243">
        <v>1.23</v>
      </c>
      <c r="F72" s="10">
        <v>2</v>
      </c>
      <c r="G72" s="10"/>
    </row>
    <row r="73" spans="2:7" s="241" customFormat="1" ht="29.25" customHeight="1">
      <c r="B73" s="423"/>
      <c r="C73" s="247" t="s">
        <v>480</v>
      </c>
      <c r="D73" s="244">
        <f>34.69+232.5</f>
        <v>267.19</v>
      </c>
      <c r="E73" s="243">
        <v>1.25</v>
      </c>
      <c r="F73" s="10">
        <v>2</v>
      </c>
      <c r="G73" s="10"/>
    </row>
    <row r="74" spans="2:7" s="241" customFormat="1" ht="29.25" customHeight="1">
      <c r="B74" s="423"/>
      <c r="C74" s="247" t="s">
        <v>481</v>
      </c>
      <c r="D74" s="243">
        <v>32.24</v>
      </c>
      <c r="E74" s="243">
        <v>1.23</v>
      </c>
      <c r="F74" s="10">
        <v>1</v>
      </c>
      <c r="G74" s="10"/>
    </row>
    <row r="75" spans="2:7" s="241" customFormat="1" ht="29.25" customHeight="1">
      <c r="B75" s="423"/>
      <c r="C75" s="247" t="s">
        <v>482</v>
      </c>
      <c r="D75" s="243">
        <f>162.3+83.61</f>
        <v>245.91000000000003</v>
      </c>
      <c r="E75" s="243">
        <v>3.51</v>
      </c>
      <c r="F75" s="10">
        <v>2</v>
      </c>
      <c r="G75" s="10"/>
    </row>
    <row r="76" spans="2:7" s="241" customFormat="1" ht="29.25" customHeight="1">
      <c r="B76" s="423"/>
      <c r="C76" s="247" t="s">
        <v>482</v>
      </c>
      <c r="D76" s="243">
        <f>118.88+255.97+224.91+29.99</f>
        <v>629.75</v>
      </c>
      <c r="E76" s="243">
        <v>3.57</v>
      </c>
      <c r="F76" s="10">
        <v>4</v>
      </c>
      <c r="G76" s="10"/>
    </row>
    <row r="77" spans="2:7" s="241" customFormat="1" ht="29.25" customHeight="1">
      <c r="B77" s="423"/>
      <c r="C77" s="247" t="s">
        <v>483</v>
      </c>
      <c r="D77" s="244">
        <f>73.77+206.56+104.51</f>
        <v>384.84</v>
      </c>
      <c r="E77" s="243">
        <v>3.51</v>
      </c>
      <c r="F77" s="10">
        <v>6</v>
      </c>
      <c r="G77" s="10"/>
    </row>
    <row r="78" spans="2:7" s="241" customFormat="1" ht="29.25" customHeight="1">
      <c r="B78" s="423"/>
      <c r="C78" s="247" t="s">
        <v>483</v>
      </c>
      <c r="D78" s="244">
        <f>72.83+31.06+61.05+158.51+53.55+51.41</f>
        <v>428.40999999999997</v>
      </c>
      <c r="E78" s="243">
        <v>3.57</v>
      </c>
      <c r="F78" s="10">
        <v>6</v>
      </c>
      <c r="G78" s="10"/>
    </row>
    <row r="79" spans="2:7" s="241" customFormat="1" ht="29.25" customHeight="1">
      <c r="B79" s="423"/>
      <c r="C79" s="250" t="s">
        <v>484</v>
      </c>
      <c r="D79" s="243">
        <v>36.74</v>
      </c>
      <c r="E79" s="243">
        <v>1.64</v>
      </c>
      <c r="F79" s="10">
        <v>1</v>
      </c>
      <c r="G79" s="10"/>
    </row>
    <row r="80" spans="2:7" s="241" customFormat="1" ht="29.25" customHeight="1">
      <c r="B80" s="423"/>
      <c r="C80" s="250" t="s">
        <v>484</v>
      </c>
      <c r="D80" s="243">
        <v>12.38</v>
      </c>
      <c r="E80" s="243">
        <v>1.25</v>
      </c>
      <c r="F80" s="10">
        <v>1</v>
      </c>
      <c r="G80" s="10"/>
    </row>
    <row r="81" spans="2:8" s="241" customFormat="1" ht="29.25" customHeight="1">
      <c r="B81" s="423"/>
      <c r="C81" s="247" t="s">
        <v>485</v>
      </c>
      <c r="D81" s="243">
        <f>259.03+518.05+147.08</f>
        <v>924.16</v>
      </c>
      <c r="E81" s="243">
        <v>4.68</v>
      </c>
      <c r="F81" s="122">
        <v>2</v>
      </c>
      <c r="G81" s="10"/>
    </row>
    <row r="82" spans="2:8" s="241" customFormat="1" ht="29.25" customHeight="1">
      <c r="B82" s="423"/>
      <c r="C82" s="247" t="s">
        <v>485</v>
      </c>
      <c r="D82" s="243">
        <f>33.2+435.9+176.72+134.95+33.2+48.2</f>
        <v>862.17000000000007</v>
      </c>
      <c r="E82" s="243">
        <v>3.57</v>
      </c>
      <c r="F82" s="122">
        <v>6</v>
      </c>
      <c r="G82" s="10"/>
    </row>
    <row r="83" spans="2:8" s="241" customFormat="1" ht="29.25" customHeight="1">
      <c r="B83" s="423"/>
      <c r="C83" s="247" t="s">
        <v>486</v>
      </c>
      <c r="D83" s="244">
        <f>147.55+95.09+222.96</f>
        <v>465.6</v>
      </c>
      <c r="E83" s="243">
        <v>4.68</v>
      </c>
      <c r="F83" s="10">
        <v>5</v>
      </c>
      <c r="G83" s="10"/>
    </row>
    <row r="84" spans="2:8" s="241" customFormat="1" ht="29.25" customHeight="1">
      <c r="B84" s="423"/>
      <c r="C84" s="247" t="s">
        <v>486</v>
      </c>
      <c r="D84" s="244">
        <f>269.89+86.75+235.62+66.4</f>
        <v>658.66</v>
      </c>
      <c r="E84" s="243">
        <v>3.57</v>
      </c>
      <c r="F84" s="10">
        <v>4</v>
      </c>
      <c r="G84" s="10"/>
    </row>
    <row r="85" spans="2:8" s="241" customFormat="1" ht="29.25" customHeight="1">
      <c r="B85" s="423"/>
      <c r="C85" s="250" t="s">
        <v>487</v>
      </c>
      <c r="D85" s="243">
        <v>102.03</v>
      </c>
      <c r="E85" s="243">
        <v>1.23</v>
      </c>
      <c r="F85" s="10">
        <v>3</v>
      </c>
      <c r="G85" s="10"/>
    </row>
    <row r="86" spans="2:8" s="241" customFormat="1" ht="29.25" customHeight="1">
      <c r="B86" s="423"/>
      <c r="C86" s="250" t="s">
        <v>487</v>
      </c>
      <c r="D86" s="243">
        <f>60.75+16.88</f>
        <v>77.63</v>
      </c>
      <c r="E86" s="243">
        <v>1.25</v>
      </c>
      <c r="F86" s="10">
        <v>2</v>
      </c>
      <c r="G86" s="10"/>
    </row>
    <row r="87" spans="2:8" s="241" customFormat="1" ht="29.25" customHeight="1">
      <c r="B87" s="423"/>
      <c r="C87" s="250" t="s">
        <v>488</v>
      </c>
      <c r="D87" s="243">
        <v>289.35000000000002</v>
      </c>
      <c r="E87" s="243">
        <v>2.11</v>
      </c>
      <c r="F87" s="10">
        <v>1</v>
      </c>
      <c r="G87" s="10"/>
    </row>
    <row r="88" spans="2:8" s="241" customFormat="1" ht="29.25" customHeight="1">
      <c r="B88" s="423"/>
      <c r="C88" s="250" t="s">
        <v>488</v>
      </c>
      <c r="D88" s="243">
        <f>119.41+96.3</f>
        <v>215.70999999999998</v>
      </c>
      <c r="E88" s="243">
        <v>2.14</v>
      </c>
      <c r="F88" s="10">
        <v>2</v>
      </c>
      <c r="G88" s="10"/>
    </row>
    <row r="89" spans="2:8" s="241" customFormat="1" ht="29.25" customHeight="1">
      <c r="B89" s="423"/>
      <c r="C89" s="247" t="s">
        <v>489</v>
      </c>
      <c r="D89" s="244">
        <f>1564.88+457.65+163.87</f>
        <v>2186.4</v>
      </c>
      <c r="E89" s="243">
        <v>2.11</v>
      </c>
      <c r="F89" s="10">
        <v>3</v>
      </c>
      <c r="G89" s="10"/>
    </row>
    <row r="90" spans="2:8" s="241" customFormat="1" ht="29.25" customHeight="1">
      <c r="B90" s="423"/>
      <c r="C90" s="247" t="s">
        <v>489</v>
      </c>
      <c r="D90" s="244">
        <f>220.85+65.48+643.93+44.94+27.93</f>
        <v>1003.13</v>
      </c>
      <c r="E90" s="243">
        <v>2.14</v>
      </c>
      <c r="F90" s="10">
        <v>5</v>
      </c>
      <c r="G90" s="10"/>
      <c r="H90" s="245"/>
    </row>
    <row r="91" spans="2:8" s="241" customFormat="1" ht="29.25" customHeight="1">
      <c r="B91" s="423"/>
      <c r="C91" s="247" t="s">
        <v>490</v>
      </c>
      <c r="D91" s="243">
        <f>556.57+115.15</f>
        <v>671.72</v>
      </c>
      <c r="E91" s="243">
        <v>2.11</v>
      </c>
      <c r="F91" s="10">
        <v>2</v>
      </c>
      <c r="G91" s="10"/>
    </row>
    <row r="92" spans="2:8" s="241" customFormat="1" ht="29.25" customHeight="1">
      <c r="B92" s="423"/>
      <c r="C92" s="247" t="s">
        <v>490</v>
      </c>
      <c r="D92" s="243">
        <f>193.24+23.75+95.66</f>
        <v>312.64999999999998</v>
      </c>
      <c r="E92" s="243">
        <v>2.14</v>
      </c>
      <c r="F92" s="10">
        <v>3</v>
      </c>
      <c r="G92" s="10"/>
    </row>
    <row r="93" spans="2:8" s="241" customFormat="1" ht="29.25" customHeight="1">
      <c r="B93" s="423"/>
      <c r="C93" s="250" t="s">
        <v>491</v>
      </c>
      <c r="D93" s="243">
        <v>109.25</v>
      </c>
      <c r="E93" s="243">
        <v>2.11</v>
      </c>
      <c r="F93" s="122">
        <v>1</v>
      </c>
      <c r="G93" s="10"/>
    </row>
    <row r="94" spans="2:8" s="241" customFormat="1" ht="29.25" customHeight="1">
      <c r="B94" s="423"/>
      <c r="C94" s="250" t="s">
        <v>491</v>
      </c>
      <c r="D94" s="243">
        <f>51.36+96.94+43.66+21.19</f>
        <v>213.15</v>
      </c>
      <c r="E94" s="243">
        <v>2.14</v>
      </c>
      <c r="F94" s="122">
        <v>4</v>
      </c>
      <c r="G94" s="10"/>
      <c r="H94" s="245"/>
    </row>
    <row r="95" spans="2:8" s="241" customFormat="1" ht="29.25" customHeight="1">
      <c r="B95" s="423"/>
      <c r="C95" s="247" t="s">
        <v>492</v>
      </c>
      <c r="D95" s="244">
        <f>114.35+140.17</f>
        <v>254.51999999999998</v>
      </c>
      <c r="E95" s="243">
        <v>3.51</v>
      </c>
      <c r="F95" s="10">
        <v>4</v>
      </c>
      <c r="G95" s="10"/>
    </row>
    <row r="96" spans="2:8" s="241" customFormat="1" ht="29.25" customHeight="1">
      <c r="B96" s="423"/>
      <c r="C96" s="247" t="s">
        <v>492</v>
      </c>
      <c r="D96" s="244">
        <f>166.01+59.44+80.83</f>
        <v>306.27999999999997</v>
      </c>
      <c r="E96" s="243">
        <v>3.57</v>
      </c>
      <c r="F96" s="10">
        <v>3</v>
      </c>
      <c r="G96" s="10"/>
    </row>
    <row r="97" spans="1:10" s="241" customFormat="1" ht="29.25" customHeight="1">
      <c r="B97" s="424"/>
      <c r="C97" s="250" t="s">
        <v>493</v>
      </c>
      <c r="D97" s="243">
        <v>984.49</v>
      </c>
      <c r="E97" s="243">
        <v>1.23</v>
      </c>
      <c r="F97" s="10">
        <v>1</v>
      </c>
      <c r="G97" s="10"/>
    </row>
    <row r="98" spans="1:10" s="241" customFormat="1" ht="29.25" customHeight="1">
      <c r="B98" s="252"/>
      <c r="C98" s="250" t="s">
        <v>493</v>
      </c>
      <c r="D98" s="243">
        <v>445.5</v>
      </c>
      <c r="E98" s="243">
        <v>1.25</v>
      </c>
      <c r="F98" s="10">
        <v>1</v>
      </c>
      <c r="G98" s="10"/>
    </row>
    <row r="99" spans="1:10" s="241" customFormat="1" ht="29.25" customHeight="1">
      <c r="B99" s="252"/>
      <c r="C99" s="250" t="s">
        <v>494</v>
      </c>
      <c r="D99" s="243">
        <f>60.35</f>
        <v>60.35</v>
      </c>
      <c r="E99" s="243">
        <v>2.14</v>
      </c>
      <c r="F99" s="10">
        <v>0</v>
      </c>
      <c r="G99" s="10"/>
      <c r="H99" s="241" t="s">
        <v>495</v>
      </c>
    </row>
    <row r="100" spans="1:10" s="253" customFormat="1" ht="25.5" customHeight="1">
      <c r="B100" s="240" t="s">
        <v>33</v>
      </c>
      <c r="C100" s="240"/>
      <c r="D100" s="125">
        <f>SUM(D8:D99)</f>
        <v>62064.459999999992</v>
      </c>
      <c r="E100" s="125">
        <f>SUM(E8:E99)</f>
        <v>291.18999999999971</v>
      </c>
      <c r="F100" s="126">
        <f>SUM(F8:F99)</f>
        <v>260</v>
      </c>
      <c r="G100" s="254"/>
    </row>
    <row r="101" spans="1:10" s="241" customFormat="1" ht="31.5" customHeight="1">
      <c r="B101" s="247" t="s">
        <v>34</v>
      </c>
      <c r="C101" s="247" t="s">
        <v>496</v>
      </c>
      <c r="D101" s="120">
        <v>0</v>
      </c>
      <c r="E101" s="120">
        <v>42</v>
      </c>
      <c r="F101" s="56">
        <v>2</v>
      </c>
      <c r="G101" s="10" t="s">
        <v>497</v>
      </c>
    </row>
    <row r="102" spans="1:10" s="241" customFormat="1" ht="25.5" customHeight="1">
      <c r="B102" s="240" t="s">
        <v>33</v>
      </c>
      <c r="C102" s="240"/>
      <c r="D102" s="125">
        <f>SUM(D101:D101)</f>
        <v>0</v>
      </c>
      <c r="E102" s="125">
        <f>SUM(E101:E101)</f>
        <v>42</v>
      </c>
      <c r="F102" s="126">
        <f>SUM(F101:F101)</f>
        <v>2</v>
      </c>
      <c r="G102" s="254"/>
      <c r="H102" s="255"/>
      <c r="I102" s="255"/>
      <c r="J102" s="255"/>
    </row>
    <row r="103" spans="1:10" s="241" customFormat="1" ht="31.5" customHeight="1">
      <c r="B103" s="425" t="s">
        <v>61</v>
      </c>
      <c r="C103" s="425"/>
      <c r="D103" s="425"/>
      <c r="E103" s="425"/>
      <c r="F103" s="425"/>
      <c r="G103" s="426"/>
    </row>
    <row r="104" spans="1:10" s="241" customFormat="1" ht="53.25" customHeight="1">
      <c r="A104" s="256"/>
      <c r="B104" s="240" t="s">
        <v>4</v>
      </c>
      <c r="C104" s="240" t="s">
        <v>62</v>
      </c>
      <c r="D104" s="4" t="s">
        <v>6</v>
      </c>
      <c r="E104" s="4" t="s">
        <v>63</v>
      </c>
      <c r="F104" s="4" t="s">
        <v>8</v>
      </c>
      <c r="G104" s="4" t="s">
        <v>64</v>
      </c>
    </row>
    <row r="105" spans="1:10" s="241" customFormat="1" ht="33" customHeight="1">
      <c r="B105" s="247" t="s">
        <v>65</v>
      </c>
      <c r="C105" s="257"/>
      <c r="D105" s="120">
        <v>0</v>
      </c>
      <c r="E105" s="120">
        <v>0</v>
      </c>
      <c r="F105" s="20">
        <v>0</v>
      </c>
      <c r="G105" s="80" t="s">
        <v>77</v>
      </c>
    </row>
    <row r="106" spans="1:10" s="241" customFormat="1" ht="24.75" customHeight="1">
      <c r="B106" s="240" t="s">
        <v>33</v>
      </c>
      <c r="C106" s="265"/>
      <c r="D106" s="125">
        <f>SUM(D105)</f>
        <v>0</v>
      </c>
      <c r="E106" s="125">
        <f>SUM(E105)</f>
        <v>0</v>
      </c>
      <c r="F106" s="126">
        <f>SUM(F105)</f>
        <v>0</v>
      </c>
      <c r="G106" s="258"/>
    </row>
    <row r="107" spans="1:10" s="259" customFormat="1" ht="38.4" customHeight="1">
      <c r="B107" s="417" t="s">
        <v>136</v>
      </c>
      <c r="C107" s="260" t="s">
        <v>498</v>
      </c>
      <c r="D107" s="244">
        <f>85+79+29.47+81+22.99+30.2+115+21.24+43.1+41.38+87.32+46.18+30.04+58.68+34.32+23.08+38.06+39.76+82.73+28.75+37.14+32.19+40.12+77.74+24.15+18.15+36.54+35.88+39.76+36.7+38.69+36.05+19.75+51.16+47.5+0.9+35.88+39.85+39.85+76.75+49.09+37+28.33+37.02+70.58+52.27+67+51.77+50.56+1603.43+1194.13+98.77+75.11+98.08+21.31+53.86+83.57+2697.81+97.8+583.06+5565.45+9919.32+1328.73+3167.31</f>
        <v>28813.41</v>
      </c>
      <c r="E107" s="244">
        <f>13587-85-85</f>
        <v>13417</v>
      </c>
      <c r="F107" s="261">
        <f>163+40+92+5+29</f>
        <v>329</v>
      </c>
      <c r="G107" s="262" t="s">
        <v>499</v>
      </c>
    </row>
    <row r="108" spans="1:10" s="259" customFormat="1" ht="28.5" customHeight="1">
      <c r="B108" s="418"/>
      <c r="C108" s="260" t="s">
        <v>500</v>
      </c>
      <c r="D108" s="244">
        <f>100+100+100+100+100+100+100+100+3200+22+300+16.66+500+22+22+108.64+65+100+100+100+100+61.09+61.64+38.08+63+63+63+63+38.21+100+86.56+100</f>
        <v>6193.880000000001</v>
      </c>
      <c r="E108" s="244">
        <v>6600</v>
      </c>
      <c r="F108" s="261">
        <v>76</v>
      </c>
      <c r="G108" s="262" t="s">
        <v>501</v>
      </c>
    </row>
    <row r="109" spans="1:10" s="259" customFormat="1" ht="28.5" customHeight="1">
      <c r="B109" s="418"/>
      <c r="C109" s="260" t="s">
        <v>502</v>
      </c>
      <c r="D109" s="263">
        <f>50+30.56+47+53+53+49+47+12.24+58+47+43+73+73+50+61+57+79+49+56+50+49+59+47+57+66+50</f>
        <v>1365.8</v>
      </c>
      <c r="E109" s="263">
        <f>1363-44</f>
        <v>1319</v>
      </c>
      <c r="F109" s="261">
        <v>26</v>
      </c>
      <c r="G109" s="262" t="s">
        <v>501</v>
      </c>
    </row>
    <row r="110" spans="1:10" s="259" customFormat="1" ht="28.5" customHeight="1">
      <c r="B110" s="418"/>
      <c r="C110" s="260" t="s">
        <v>503</v>
      </c>
      <c r="D110" s="243">
        <f>99+98+94+99+55.83+59.86+97+87+73+98</f>
        <v>860.69</v>
      </c>
      <c r="E110" s="243">
        <v>929</v>
      </c>
      <c r="F110" s="261">
        <v>11</v>
      </c>
      <c r="G110" s="262" t="s">
        <v>501</v>
      </c>
    </row>
    <row r="111" spans="1:10" s="259" customFormat="1" ht="28.5" customHeight="1">
      <c r="B111" s="419"/>
      <c r="C111" s="260" t="s">
        <v>504</v>
      </c>
      <c r="D111" s="243">
        <f>54+54+54+54+54+54+54+54+54+37.24+37.24+54+54+54+54+54+54+54+54+54+54+54+54+54+54+57+58.14+58.17+54+57.1+54+54+54+54+54+54+54+54+54+54+54+54+22.59+54+24.85+54+54+54+54+54+54+54+54+54+15.03+41.86</f>
        <v>2893.2200000000007</v>
      </c>
      <c r="E111" s="243" t="s">
        <v>505</v>
      </c>
      <c r="F111" s="261">
        <f>57+1+1</f>
        <v>59</v>
      </c>
      <c r="G111" s="262" t="s">
        <v>501</v>
      </c>
    </row>
    <row r="112" spans="1:10" s="259" customFormat="1" ht="28.5" customHeight="1">
      <c r="B112" s="240" t="s">
        <v>33</v>
      </c>
      <c r="C112" s="273"/>
      <c r="D112" s="274">
        <f>SUM(D107:D111)</f>
        <v>40127.000000000007</v>
      </c>
      <c r="E112" s="274">
        <f>SUM(E107:E111)</f>
        <v>22265</v>
      </c>
      <c r="F112" s="275">
        <f>SUM(F107:F111)</f>
        <v>501</v>
      </c>
      <c r="G112" s="276"/>
    </row>
    <row r="113" spans="2:7" s="241" customFormat="1" ht="24" customHeight="1">
      <c r="B113" s="417" t="s">
        <v>70</v>
      </c>
      <c r="C113" s="247" t="s">
        <v>506</v>
      </c>
      <c r="D113" s="120">
        <v>0</v>
      </c>
      <c r="E113" s="120">
        <v>1905.99</v>
      </c>
      <c r="F113" s="20">
        <v>1</v>
      </c>
      <c r="G113" s="258"/>
    </row>
    <row r="114" spans="2:7" s="241" customFormat="1" ht="24" customHeight="1">
      <c r="B114" s="415"/>
      <c r="C114" s="247" t="s">
        <v>507</v>
      </c>
      <c r="D114" s="120">
        <v>0</v>
      </c>
      <c r="E114" s="120">
        <v>72671.289999999994</v>
      </c>
      <c r="F114" s="20">
        <v>1</v>
      </c>
      <c r="G114" s="258"/>
    </row>
    <row r="115" spans="2:7" s="241" customFormat="1" ht="27" customHeight="1">
      <c r="B115" s="240" t="s">
        <v>33</v>
      </c>
      <c r="C115" s="265"/>
      <c r="D115" s="125">
        <f>SUM(D113:D114)</f>
        <v>0</v>
      </c>
      <c r="E115" s="125">
        <f>SUM(E113:E114)</f>
        <v>74577.279999999999</v>
      </c>
      <c r="F115" s="126">
        <f>SUM(F113:F114)</f>
        <v>2</v>
      </c>
      <c r="G115" s="258"/>
    </row>
    <row r="116" spans="2:7" s="241" customFormat="1" ht="27" customHeight="1">
      <c r="B116" s="247" t="s">
        <v>73</v>
      </c>
      <c r="C116" s="247" t="s">
        <v>508</v>
      </c>
      <c r="D116" s="120">
        <v>3083.45</v>
      </c>
      <c r="E116" s="120">
        <v>3083.45</v>
      </c>
      <c r="F116" s="20">
        <v>1</v>
      </c>
      <c r="G116" s="258"/>
    </row>
    <row r="117" spans="2:7" s="241" customFormat="1" ht="27.75" customHeight="1">
      <c r="B117" s="240" t="s">
        <v>33</v>
      </c>
      <c r="C117" s="265"/>
      <c r="D117" s="125">
        <f>SUM(D116)</f>
        <v>3083.45</v>
      </c>
      <c r="E117" s="125">
        <f>SUM(E116)</f>
        <v>3083.45</v>
      </c>
      <c r="F117" s="126">
        <f>SUM(F116)</f>
        <v>1</v>
      </c>
      <c r="G117" s="258"/>
    </row>
    <row r="118" spans="2:7" s="241" customFormat="1" ht="30.75" customHeight="1">
      <c r="B118" s="247" t="s">
        <v>74</v>
      </c>
      <c r="C118" s="264"/>
      <c r="D118" s="120">
        <v>0</v>
      </c>
      <c r="E118" s="120">
        <v>0</v>
      </c>
      <c r="F118" s="20">
        <v>0</v>
      </c>
      <c r="G118" s="80" t="s">
        <v>77</v>
      </c>
    </row>
    <row r="119" spans="2:7" s="241" customFormat="1" ht="24.75" customHeight="1">
      <c r="B119" s="240" t="s">
        <v>33</v>
      </c>
      <c r="C119" s="265"/>
      <c r="D119" s="125">
        <f>SUM(D118)</f>
        <v>0</v>
      </c>
      <c r="E119" s="125">
        <f>SUM(E118)</f>
        <v>0</v>
      </c>
      <c r="F119" s="126">
        <f>SUM(F118)</f>
        <v>0</v>
      </c>
      <c r="G119" s="258"/>
    </row>
    <row r="120" spans="2:7" s="241" customFormat="1" ht="17.25" customHeight="1">
      <c r="B120" s="386"/>
      <c r="C120" s="386"/>
      <c r="D120" s="386"/>
      <c r="E120" s="386"/>
      <c r="F120" s="386"/>
      <c r="G120" s="386"/>
    </row>
    <row r="121" spans="2:7" s="241" customFormat="1" ht="33" customHeight="1">
      <c r="B121" s="240" t="s">
        <v>509</v>
      </c>
      <c r="C121" s="265"/>
      <c r="D121" s="266">
        <f>D100+D102+D106+D112+D115+D117+D119</f>
        <v>105274.90999999999</v>
      </c>
      <c r="E121" s="266">
        <f>E100+E102+E106+E112+E115+E117+E119</f>
        <v>100258.92</v>
      </c>
      <c r="F121" s="267">
        <f>F100+F102+F106+F112+F115+F117+F119</f>
        <v>766</v>
      </c>
      <c r="G121" s="258"/>
    </row>
    <row r="122" spans="2:7" s="241" customFormat="1" ht="13.8">
      <c r="B122" s="268"/>
      <c r="C122" s="246"/>
      <c r="D122" s="256"/>
      <c r="E122" s="256"/>
      <c r="F122" s="256"/>
    </row>
    <row r="123" spans="2:7" s="241" customFormat="1" ht="13.8">
      <c r="B123" s="269" t="s">
        <v>512</v>
      </c>
      <c r="C123" s="246"/>
    </row>
    <row r="124" spans="2:7" s="241" customFormat="1" ht="13.8">
      <c r="B124" s="269"/>
      <c r="C124" s="246"/>
    </row>
    <row r="125" spans="2:7" s="241" customFormat="1" ht="13.8">
      <c r="B125" s="268" t="s">
        <v>217</v>
      </c>
      <c r="C125" s="246"/>
    </row>
    <row r="126" spans="2:7" s="241" customFormat="1" ht="13.8">
      <c r="B126" s="268" t="s">
        <v>510</v>
      </c>
      <c r="C126" s="246"/>
    </row>
    <row r="127" spans="2:7" s="241" customFormat="1" ht="13.8">
      <c r="B127" s="268" t="s">
        <v>511</v>
      </c>
      <c r="C127" s="246"/>
    </row>
    <row r="128" spans="2:7" s="241" customFormat="1" ht="13.8">
      <c r="B128" s="268"/>
      <c r="C128" s="246"/>
    </row>
    <row r="129" spans="1:4" s="272" customFormat="1" ht="13.8">
      <c r="A129" s="270"/>
      <c r="B129" s="271" t="s">
        <v>76</v>
      </c>
      <c r="C129" s="259"/>
    </row>
    <row r="130" spans="1:4">
      <c r="B130" s="420"/>
      <c r="C130" s="420"/>
      <c r="D130" s="420"/>
    </row>
    <row r="131" spans="1:4">
      <c r="B131" t="s">
        <v>79</v>
      </c>
      <c r="C131"/>
    </row>
    <row r="132" spans="1:4" ht="15.75" customHeight="1"/>
  </sheetData>
  <mergeCells count="10">
    <mergeCell ref="B107:B111"/>
    <mergeCell ref="B113:B114"/>
    <mergeCell ref="B120:G120"/>
    <mergeCell ref="B130:D130"/>
    <mergeCell ref="B4:G4"/>
    <mergeCell ref="B5:G5"/>
    <mergeCell ref="B6:G6"/>
    <mergeCell ref="B8:B97"/>
    <mergeCell ref="C23:C24"/>
    <mergeCell ref="B103:G10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82E0F-A335-4E12-8A83-545A4220DA4F}">
  <dimension ref="A1:J84"/>
  <sheetViews>
    <sheetView topLeftCell="A68" workbookViewId="0">
      <selection activeCell="G56" sqref="G56"/>
    </sheetView>
  </sheetViews>
  <sheetFormatPr defaultColWidth="9.21875" defaultRowHeight="14.4"/>
  <cols>
    <col min="1" max="1" width="3.44140625" customWidth="1"/>
    <col min="2" max="2" width="45.21875" customWidth="1"/>
    <col min="3" max="3" width="31.21875" style="103" customWidth="1"/>
    <col min="4" max="4" width="16.77734375" style="103" customWidth="1"/>
    <col min="5" max="5" width="24.77734375" style="17" customWidth="1"/>
    <col min="6" max="6" width="15.21875" style="103" customWidth="1"/>
    <col min="7" max="7" width="45.21875" customWidth="1"/>
    <col min="8" max="8" width="37.21875" customWidth="1"/>
    <col min="9" max="9" width="12.77734375" customWidth="1"/>
  </cols>
  <sheetData>
    <row r="1" spans="2:9" ht="30" customHeight="1">
      <c r="B1" s="1" t="s">
        <v>0</v>
      </c>
    </row>
    <row r="2" spans="2:9" ht="25.5" customHeight="1">
      <c r="B2" s="277" t="s">
        <v>513</v>
      </c>
      <c r="D2" s="278"/>
      <c r="E2" s="278"/>
    </row>
    <row r="3" spans="2:9" ht="12.75" customHeight="1">
      <c r="B3" s="1"/>
      <c r="D3" s="278"/>
      <c r="E3" s="278"/>
    </row>
    <row r="4" spans="2:9" ht="32.25" customHeight="1">
      <c r="B4" s="363" t="s">
        <v>81</v>
      </c>
      <c r="C4" s="363"/>
      <c r="D4" s="363"/>
      <c r="E4" s="363"/>
      <c r="F4" s="363"/>
      <c r="G4" s="363"/>
    </row>
    <row r="5" spans="2:9" ht="31.5" customHeight="1">
      <c r="B5" s="363" t="s">
        <v>514</v>
      </c>
      <c r="C5" s="363"/>
      <c r="D5" s="363"/>
      <c r="E5" s="363"/>
      <c r="F5" s="363"/>
      <c r="G5" s="363"/>
    </row>
    <row r="6" spans="2:9" ht="26.25" customHeight="1">
      <c r="B6" s="364" t="s">
        <v>3</v>
      </c>
      <c r="C6" s="364"/>
      <c r="D6" s="364"/>
      <c r="E6" s="364"/>
      <c r="F6" s="364"/>
      <c r="G6" s="364"/>
    </row>
    <row r="7" spans="2:9" ht="63.75" customHeight="1">
      <c r="B7" s="279" t="s">
        <v>4</v>
      </c>
      <c r="C7" s="280" t="s">
        <v>5</v>
      </c>
      <c r="D7" s="280" t="s">
        <v>6</v>
      </c>
      <c r="E7" s="280" t="s">
        <v>7</v>
      </c>
      <c r="F7" s="280" t="s">
        <v>8</v>
      </c>
      <c r="G7" s="280" t="s">
        <v>9</v>
      </c>
    </row>
    <row r="8" spans="2:9" ht="36.75" customHeight="1">
      <c r="B8" s="428" t="s">
        <v>83</v>
      </c>
      <c r="C8" s="7" t="s">
        <v>515</v>
      </c>
      <c r="D8" s="164">
        <v>0</v>
      </c>
      <c r="E8" s="136">
        <v>3.15</v>
      </c>
      <c r="F8" s="38">
        <v>0</v>
      </c>
      <c r="G8" s="80" t="s">
        <v>77</v>
      </c>
    </row>
    <row r="9" spans="2:9" ht="48.6" customHeight="1">
      <c r="B9" s="428"/>
      <c r="C9" s="7" t="s">
        <v>516</v>
      </c>
      <c r="D9" s="164">
        <f>(652.68+136.08+87.89)</f>
        <v>876.65</v>
      </c>
      <c r="E9" s="136">
        <v>3.15</v>
      </c>
      <c r="F9" s="38">
        <v>3</v>
      </c>
      <c r="G9" s="162" t="s">
        <v>517</v>
      </c>
      <c r="H9" s="130"/>
    </row>
    <row r="10" spans="2:9" ht="36.75" customHeight="1">
      <c r="B10" s="428"/>
      <c r="C10" s="7" t="s">
        <v>518</v>
      </c>
      <c r="D10" s="164">
        <f>(104.9)</f>
        <v>104.9</v>
      </c>
      <c r="E10" s="136">
        <v>3.15</v>
      </c>
      <c r="F10" s="38">
        <v>1</v>
      </c>
      <c r="G10" s="162"/>
      <c r="H10" s="130"/>
    </row>
    <row r="11" spans="2:9" ht="36.75" customHeight="1">
      <c r="B11" s="428"/>
      <c r="C11" s="7" t="s">
        <v>519</v>
      </c>
      <c r="D11" s="164">
        <v>0</v>
      </c>
      <c r="E11" s="136">
        <v>2.25</v>
      </c>
      <c r="F11" s="38">
        <v>0</v>
      </c>
      <c r="G11" s="80" t="s">
        <v>77</v>
      </c>
      <c r="H11" s="130"/>
    </row>
    <row r="12" spans="2:9" ht="36.75" customHeight="1">
      <c r="B12" s="428"/>
      <c r="C12" s="7" t="s">
        <v>520</v>
      </c>
      <c r="D12" s="164">
        <f>(113.4+154.35)+41.85+46.9</f>
        <v>356.5</v>
      </c>
      <c r="E12" s="136">
        <v>2.25</v>
      </c>
      <c r="F12" s="38">
        <f>2+1+1</f>
        <v>4</v>
      </c>
      <c r="G12" s="162" t="s">
        <v>521</v>
      </c>
      <c r="I12" s="130"/>
    </row>
    <row r="13" spans="2:9" ht="36.75" customHeight="1">
      <c r="B13" s="428"/>
      <c r="C13" s="7" t="s">
        <v>522</v>
      </c>
      <c r="D13" s="293">
        <f>(119.07+68.36+185.22+158.76+102.53+137.71)+(66.15+66.48+46.78+62.37+202.7+49.14)</f>
        <v>1265.27</v>
      </c>
      <c r="E13" s="136">
        <v>3.15</v>
      </c>
      <c r="F13" s="38">
        <f>(1+5)+(1+1+1+1+1+1)</f>
        <v>12</v>
      </c>
      <c r="G13" s="162" t="s">
        <v>523</v>
      </c>
      <c r="H13" s="130"/>
    </row>
    <row r="14" spans="2:9" ht="36.75" customHeight="1">
      <c r="B14" s="428"/>
      <c r="C14" s="7" t="s">
        <v>524</v>
      </c>
      <c r="D14" s="164">
        <f>(151.2+50.4+1827+590.63+22.27+22.27+445.5+445.5+74.25+34.44+91.13+84.38+64.8)</f>
        <v>3903.7700000000004</v>
      </c>
      <c r="E14" s="294">
        <v>2.25</v>
      </c>
      <c r="F14" s="38">
        <f>(4+1)+(7+1+1)</f>
        <v>14</v>
      </c>
      <c r="G14" s="162" t="s">
        <v>525</v>
      </c>
      <c r="H14" s="130"/>
    </row>
    <row r="15" spans="2:9" ht="36.75" customHeight="1">
      <c r="B15" s="428"/>
      <c r="C15" s="7" t="s">
        <v>526</v>
      </c>
      <c r="D15" s="164">
        <f>(1512+815.85+257.04+116.55+110.25+138.91+77.96)+(107.73+264.6+70.88+323.19+324)</f>
        <v>4118.96</v>
      </c>
      <c r="E15" s="136">
        <v>2.5499999999999998</v>
      </c>
      <c r="F15" s="38">
        <f>(5+1+1)+(5)</f>
        <v>12</v>
      </c>
      <c r="G15" s="162" t="s">
        <v>527</v>
      </c>
    </row>
    <row r="16" spans="2:9" ht="36.75" customHeight="1">
      <c r="B16" s="428"/>
      <c r="C16" s="7" t="s">
        <v>528</v>
      </c>
      <c r="D16" s="164">
        <f>(91.8+407.93+94.5)+(842.4+72.9+94.5+26.65)</f>
        <v>1630.68</v>
      </c>
      <c r="E16" s="136">
        <v>2.25</v>
      </c>
      <c r="F16" s="38">
        <f>(2+1)+2+2</f>
        <v>7</v>
      </c>
      <c r="G16" s="162" t="s">
        <v>529</v>
      </c>
    </row>
    <row r="17" spans="2:9" ht="36.75" customHeight="1">
      <c r="B17" s="428"/>
      <c r="C17" s="7" t="s">
        <v>530</v>
      </c>
      <c r="D17" s="164">
        <v>47.25</v>
      </c>
      <c r="E17" s="136">
        <v>2.25</v>
      </c>
      <c r="F17" s="38">
        <v>1</v>
      </c>
      <c r="G17" s="282"/>
    </row>
    <row r="18" spans="2:9" ht="36.75" customHeight="1">
      <c r="B18" s="428"/>
      <c r="C18" s="7" t="s">
        <v>531</v>
      </c>
      <c r="D18" s="164">
        <f>(308.7+136.71+65.52+66.15+292.32)+(160.65+80.33+132.3+28.35+58.59+56.7+28.35)</f>
        <v>1414.67</v>
      </c>
      <c r="E18" s="136">
        <v>3.15</v>
      </c>
      <c r="F18" s="38">
        <f>5+5+1</f>
        <v>11</v>
      </c>
      <c r="G18" s="162" t="s">
        <v>525</v>
      </c>
      <c r="H18" s="130"/>
    </row>
    <row r="19" spans="2:9" ht="36.75" customHeight="1">
      <c r="B19" s="428"/>
      <c r="C19" s="7" t="s">
        <v>532</v>
      </c>
      <c r="D19" s="164">
        <v>0</v>
      </c>
      <c r="E19" s="136">
        <v>2.25</v>
      </c>
      <c r="F19" s="38">
        <v>0</v>
      </c>
      <c r="G19" s="80" t="s">
        <v>77</v>
      </c>
      <c r="H19" s="130"/>
    </row>
    <row r="20" spans="2:9" ht="49.8" customHeight="1">
      <c r="B20" s="428"/>
      <c r="C20" s="7" t="s">
        <v>533</v>
      </c>
      <c r="D20" s="164">
        <f>2484+(42.53+50.4+244.13+66.15)+(24.97)</f>
        <v>2912.18</v>
      </c>
      <c r="E20" s="136">
        <v>2.25</v>
      </c>
      <c r="F20" s="38">
        <f>1+4</f>
        <v>5</v>
      </c>
      <c r="G20" s="162" t="s">
        <v>534</v>
      </c>
    </row>
    <row r="21" spans="2:9" ht="36.75" customHeight="1">
      <c r="B21" s="428"/>
      <c r="C21" s="7" t="s">
        <v>535</v>
      </c>
      <c r="D21" s="164">
        <f>(22.27+66.83+23.63+20.25)</f>
        <v>132.97999999999999</v>
      </c>
      <c r="E21" s="136">
        <v>2.25</v>
      </c>
      <c r="F21" s="38">
        <f>2+1</f>
        <v>3</v>
      </c>
      <c r="G21" s="282"/>
      <c r="I21" s="283"/>
    </row>
    <row r="22" spans="2:9" ht="36.75" customHeight="1">
      <c r="B22" s="428"/>
      <c r="C22" s="7" t="s">
        <v>536</v>
      </c>
      <c r="D22" s="164">
        <f>115.76+66.15+56.7+93.56</f>
        <v>332.17</v>
      </c>
      <c r="E22" s="136">
        <v>3.15</v>
      </c>
      <c r="F22" s="38">
        <f>1+1+1+1</f>
        <v>4</v>
      </c>
      <c r="G22" s="282"/>
    </row>
    <row r="23" spans="2:9" ht="45.6" customHeight="1">
      <c r="B23" s="428"/>
      <c r="C23" s="7" t="s">
        <v>537</v>
      </c>
      <c r="D23" s="293">
        <f>(59.54+68.36+102.53+771.75)+(1048.95)+(46.78+56.7+140.33+181.44+32.13)</f>
        <v>2508.5100000000002</v>
      </c>
      <c r="E23" s="136">
        <v>3.15</v>
      </c>
      <c r="F23" s="38">
        <f>(1+1+1+1)+1+(2+2)</f>
        <v>9</v>
      </c>
      <c r="G23" s="162" t="s">
        <v>538</v>
      </c>
      <c r="H23" s="130"/>
    </row>
    <row r="24" spans="2:9" ht="45.6" customHeight="1">
      <c r="B24" s="428"/>
      <c r="C24" s="7" t="s">
        <v>539</v>
      </c>
      <c r="D24" s="164">
        <f>(70.88+50.4+488.25)+2247.75+(22.27+30.38+32.4+66.83)</f>
        <v>3009.16</v>
      </c>
      <c r="E24" s="136">
        <v>2.25</v>
      </c>
      <c r="F24" s="38">
        <f>3+1+(1+1+1)</f>
        <v>7</v>
      </c>
      <c r="G24" s="162" t="s">
        <v>540</v>
      </c>
    </row>
    <row r="25" spans="2:9" ht="36.75" customHeight="1">
      <c r="B25" s="428"/>
      <c r="C25" s="7" t="s">
        <v>541</v>
      </c>
      <c r="D25" s="164">
        <f>187.31</f>
        <v>187.31</v>
      </c>
      <c r="E25" s="136">
        <v>2.25</v>
      </c>
      <c r="F25" s="38">
        <v>1</v>
      </c>
      <c r="G25" s="162"/>
    </row>
    <row r="26" spans="2:9" ht="45.6" customHeight="1">
      <c r="B26" s="428"/>
      <c r="C26" s="7" t="s">
        <v>542</v>
      </c>
      <c r="D26" s="164">
        <f>(47.25)+20.93</f>
        <v>68.180000000000007</v>
      </c>
      <c r="E26" s="136">
        <v>2.25</v>
      </c>
      <c r="F26" s="38">
        <v>1</v>
      </c>
      <c r="G26" s="162" t="s">
        <v>543</v>
      </c>
    </row>
    <row r="27" spans="2:9" ht="36.75" customHeight="1">
      <c r="B27" s="428"/>
      <c r="C27" s="7" t="s">
        <v>544</v>
      </c>
      <c r="D27" s="164">
        <f>499.5</f>
        <v>499.5</v>
      </c>
      <c r="E27" s="136">
        <v>3.15</v>
      </c>
      <c r="F27" s="38">
        <v>1</v>
      </c>
      <c r="G27" s="162"/>
    </row>
    <row r="28" spans="2:9" ht="36.75" customHeight="1">
      <c r="B28" s="428"/>
      <c r="C28" s="7" t="s">
        <v>545</v>
      </c>
      <c r="D28" s="164">
        <f>187.31</f>
        <v>187.31</v>
      </c>
      <c r="E28" s="136">
        <v>3.15</v>
      </c>
      <c r="F28" s="38">
        <v>1</v>
      </c>
      <c r="G28" s="162"/>
    </row>
    <row r="29" spans="2:9" ht="36.75" customHeight="1">
      <c r="B29" s="428"/>
      <c r="C29" s="7" t="s">
        <v>546</v>
      </c>
      <c r="D29" s="164">
        <v>0</v>
      </c>
      <c r="E29" s="136">
        <v>2.25</v>
      </c>
      <c r="F29" s="38">
        <v>0</v>
      </c>
      <c r="G29" s="80" t="s">
        <v>77</v>
      </c>
    </row>
    <row r="30" spans="2:9" ht="36.75" customHeight="1">
      <c r="B30" s="428"/>
      <c r="C30" s="7" t="s">
        <v>547</v>
      </c>
      <c r="D30" s="164">
        <v>0</v>
      </c>
      <c r="E30" s="136">
        <v>3.15</v>
      </c>
      <c r="F30" s="38">
        <v>0</v>
      </c>
      <c r="G30" s="80" t="s">
        <v>77</v>
      </c>
    </row>
    <row r="31" spans="2:9" ht="36.75" customHeight="1">
      <c r="B31" s="428"/>
      <c r="C31" s="7" t="s">
        <v>548</v>
      </c>
      <c r="D31" s="164">
        <v>0</v>
      </c>
      <c r="E31" s="136">
        <v>2.25</v>
      </c>
      <c r="F31" s="38">
        <v>0</v>
      </c>
      <c r="G31" s="80" t="s">
        <v>77</v>
      </c>
    </row>
    <row r="32" spans="2:9" ht="36.75" customHeight="1">
      <c r="B32" s="428"/>
      <c r="C32" s="7" t="s">
        <v>549</v>
      </c>
      <c r="D32" s="164">
        <v>0</v>
      </c>
      <c r="E32" s="136">
        <v>3.15</v>
      </c>
      <c r="F32" s="38">
        <v>0</v>
      </c>
      <c r="G32" s="80" t="s">
        <v>77</v>
      </c>
    </row>
    <row r="33" spans="2:9" ht="36.75" customHeight="1">
      <c r="B33" s="428"/>
      <c r="C33" s="7" t="s">
        <v>550</v>
      </c>
      <c r="D33" s="164">
        <v>53.87</v>
      </c>
      <c r="E33" s="136">
        <v>3.15</v>
      </c>
      <c r="F33" s="38">
        <v>1</v>
      </c>
      <c r="G33" s="162"/>
      <c r="H33" s="130"/>
      <c r="I33" s="33"/>
    </row>
    <row r="34" spans="2:9" ht="36.75" customHeight="1">
      <c r="B34" s="428"/>
      <c r="C34" s="7" t="s">
        <v>551</v>
      </c>
      <c r="D34" s="293">
        <f>(245.7+368.55+680.4+1965.6+302.4)+(1377+144+18+144)+(307.8+108+125.55+125.55)+(368.55+1965.5+680.4)</f>
        <v>8927</v>
      </c>
      <c r="E34" s="136">
        <v>4.5</v>
      </c>
      <c r="F34" s="38">
        <f>5+3+4</f>
        <v>12</v>
      </c>
      <c r="G34" s="162" t="s">
        <v>552</v>
      </c>
      <c r="H34" s="130"/>
      <c r="I34" s="33"/>
    </row>
    <row r="35" spans="2:9" ht="36.75" customHeight="1">
      <c r="B35" s="428"/>
      <c r="C35" s="7" t="s">
        <v>553</v>
      </c>
      <c r="D35" s="164">
        <f>125.69+(484.79+66.15)</f>
        <v>676.63000000000011</v>
      </c>
      <c r="E35" s="136">
        <v>3.15</v>
      </c>
      <c r="F35" s="38">
        <f>1+2</f>
        <v>3</v>
      </c>
      <c r="G35" s="162" t="s">
        <v>517</v>
      </c>
      <c r="H35" s="130"/>
    </row>
    <row r="36" spans="2:9" ht="36.75" customHeight="1">
      <c r="B36" s="428"/>
      <c r="C36" s="7" t="s">
        <v>554</v>
      </c>
      <c r="D36" s="164">
        <f>(45)+20.25+24.3+11.43+62.37</f>
        <v>163.35</v>
      </c>
      <c r="E36" s="136">
        <v>2.25</v>
      </c>
      <c r="F36" s="38">
        <f>1+4</f>
        <v>5</v>
      </c>
      <c r="G36" s="162" t="s">
        <v>517</v>
      </c>
      <c r="H36" s="130"/>
    </row>
    <row r="37" spans="2:9" ht="36.75" customHeight="1">
      <c r="B37" s="428"/>
      <c r="C37" s="7" t="s">
        <v>555</v>
      </c>
      <c r="D37" s="164">
        <f>(74.97+136.71+341.78+73.08+63.36+132.3+166.17+854.59+105.84)+(176.72+224.91+62.37+117.18+30.24)</f>
        <v>2560.2200000000003</v>
      </c>
      <c r="E37" s="136">
        <v>3.15</v>
      </c>
      <c r="F37" s="38">
        <f>(1+7+1)+5</f>
        <v>14</v>
      </c>
      <c r="G37" s="162" t="s">
        <v>556</v>
      </c>
      <c r="H37" s="281"/>
    </row>
    <row r="38" spans="2:9" ht="36.75" customHeight="1">
      <c r="B38" s="428"/>
      <c r="C38" s="7" t="s">
        <v>557</v>
      </c>
      <c r="D38" s="164">
        <v>0</v>
      </c>
      <c r="E38" s="136">
        <v>2.25</v>
      </c>
      <c r="F38" s="38">
        <v>0</v>
      </c>
      <c r="G38" s="80" t="s">
        <v>77</v>
      </c>
    </row>
    <row r="39" spans="2:9" ht="36.75" customHeight="1">
      <c r="B39" s="428"/>
      <c r="C39" s="7" t="s">
        <v>558</v>
      </c>
      <c r="D39" s="164">
        <v>0</v>
      </c>
      <c r="E39" s="136">
        <v>2.25</v>
      </c>
      <c r="F39" s="38">
        <v>0</v>
      </c>
      <c r="G39" s="80" t="s">
        <v>77</v>
      </c>
      <c r="I39" s="283"/>
    </row>
    <row r="40" spans="2:9" ht="36.75" customHeight="1">
      <c r="B40" s="428"/>
      <c r="C40" s="7" t="s">
        <v>559</v>
      </c>
      <c r="D40" s="164">
        <f>(567+550.8+1398.6)+(307.8+779.63+949.05)</f>
        <v>4552.8799999999992</v>
      </c>
      <c r="E40" s="136">
        <v>4.5</v>
      </c>
      <c r="F40" s="38">
        <f>3+3</f>
        <v>6</v>
      </c>
      <c r="G40" s="162" t="s">
        <v>529</v>
      </c>
    </row>
    <row r="41" spans="2:9" ht="36.75" customHeight="1">
      <c r="B41" s="428"/>
      <c r="C41" s="7" t="s">
        <v>560</v>
      </c>
      <c r="D41" s="164">
        <f>(149.94+529.2+300.98+231.53+652.68)+(215.46+385.56+112.46+432)</f>
        <v>3009.81</v>
      </c>
      <c r="E41" s="136">
        <v>4.5</v>
      </c>
      <c r="F41" s="38">
        <f>5+4</f>
        <v>9</v>
      </c>
      <c r="G41" s="162" t="s">
        <v>525</v>
      </c>
      <c r="H41" s="130"/>
      <c r="I41" s="283"/>
    </row>
    <row r="42" spans="2:9" ht="36.75" customHeight="1">
      <c r="B42" s="428"/>
      <c r="C42" s="7" t="s">
        <v>561</v>
      </c>
      <c r="D42" s="137">
        <f>(474.08+335.16)+(314.69+203.18)</f>
        <v>1327.1100000000001</v>
      </c>
      <c r="E42" s="136">
        <v>3.15</v>
      </c>
      <c r="F42" s="38">
        <f>(1+1)+2</f>
        <v>4</v>
      </c>
      <c r="G42" s="162" t="s">
        <v>562</v>
      </c>
      <c r="H42" s="130"/>
    </row>
    <row r="43" spans="2:9" ht="36.75" customHeight="1">
      <c r="B43" s="428"/>
      <c r="C43" s="7" t="s">
        <v>563</v>
      </c>
      <c r="D43" s="293">
        <f>(335.16+586.53+839.16)+(230.85+795.15+283.5+165.38)</f>
        <v>3235.73</v>
      </c>
      <c r="E43" s="136">
        <v>3.15</v>
      </c>
      <c r="F43" s="38">
        <f>(1+2)+4</f>
        <v>7</v>
      </c>
      <c r="G43" s="162" t="s">
        <v>529</v>
      </c>
    </row>
    <row r="44" spans="2:9" ht="36.75" customHeight="1">
      <c r="B44" s="428"/>
      <c r="C44" s="7" t="s">
        <v>564</v>
      </c>
      <c r="D44" s="164">
        <f>(22.68+218.3)+(323.19+96.36)+ 64.26</f>
        <v>724.79</v>
      </c>
      <c r="E44" s="136">
        <v>3.15</v>
      </c>
      <c r="F44" s="38">
        <f>2+3+1</f>
        <v>6</v>
      </c>
      <c r="G44" s="162" t="s">
        <v>521</v>
      </c>
      <c r="H44" s="130"/>
    </row>
    <row r="45" spans="2:9" ht="36.75" customHeight="1">
      <c r="B45" s="428"/>
      <c r="C45" s="7" t="s">
        <v>565</v>
      </c>
      <c r="D45" s="164">
        <f>(110.25+162.75+50.4)</f>
        <v>323.39999999999998</v>
      </c>
      <c r="E45" s="136">
        <v>2.25</v>
      </c>
      <c r="F45" s="38">
        <f>3</f>
        <v>3</v>
      </c>
      <c r="G45" s="162" t="s">
        <v>529</v>
      </c>
    </row>
    <row r="46" spans="2:9" ht="36.75" customHeight="1">
      <c r="B46" s="428"/>
      <c r="C46" s="7" t="s">
        <v>566</v>
      </c>
      <c r="D46" s="164">
        <f>155.29+(238.14+136.08)</f>
        <v>529.51</v>
      </c>
      <c r="E46" s="136">
        <v>3.15</v>
      </c>
      <c r="F46" s="38">
        <f>1+2</f>
        <v>3</v>
      </c>
      <c r="G46" s="162" t="s">
        <v>517</v>
      </c>
      <c r="H46" s="130"/>
    </row>
    <row r="47" spans="2:9" ht="36.75" customHeight="1">
      <c r="B47" s="428"/>
      <c r="C47" s="7" t="s">
        <v>567</v>
      </c>
      <c r="D47" s="293">
        <f>(263.34+205.07)+(143.64+102.06+62.37)</f>
        <v>776.48</v>
      </c>
      <c r="E47" s="136">
        <v>3.15</v>
      </c>
      <c r="F47" s="38">
        <f>(1+1)+3</f>
        <v>5</v>
      </c>
      <c r="G47" s="162" t="s">
        <v>521</v>
      </c>
      <c r="H47" s="130"/>
    </row>
    <row r="48" spans="2:9" ht="36.75" customHeight="1">
      <c r="B48" s="284"/>
      <c r="C48" s="7" t="s">
        <v>568</v>
      </c>
      <c r="D48" s="164">
        <f>(68.36+92.61+145.53)+(102.6+22.28+47.25)</f>
        <v>478.63</v>
      </c>
      <c r="E48" s="136">
        <v>3.15</v>
      </c>
      <c r="F48" s="38">
        <f>3+2+1</f>
        <v>6</v>
      </c>
      <c r="G48" s="162" t="s">
        <v>529</v>
      </c>
    </row>
    <row r="49" spans="1:10" ht="36.75" customHeight="1">
      <c r="B49" s="284"/>
      <c r="C49" s="7" t="s">
        <v>569</v>
      </c>
      <c r="D49" s="164">
        <f>60.75</f>
        <v>60.75</v>
      </c>
      <c r="E49" s="136">
        <v>2.25</v>
      </c>
      <c r="F49" s="38">
        <f>1</f>
        <v>1</v>
      </c>
      <c r="G49" s="162"/>
    </row>
    <row r="50" spans="1:10" ht="45" customHeight="1">
      <c r="B50" s="124" t="s">
        <v>33</v>
      </c>
      <c r="C50" s="7"/>
      <c r="D50" s="131">
        <f>SUM(D8:D48)</f>
        <v>50895.360000000001</v>
      </c>
      <c r="E50" s="131">
        <f>SUM(E8:E48)</f>
        <v>117.30000000000004</v>
      </c>
      <c r="F50" s="132">
        <f>SUM(F8:F48)</f>
        <v>181</v>
      </c>
      <c r="G50" s="16"/>
    </row>
    <row r="51" spans="1:10" ht="42.75" customHeight="1">
      <c r="B51" s="344" t="s">
        <v>34</v>
      </c>
      <c r="C51" s="162" t="s">
        <v>570</v>
      </c>
      <c r="D51" s="137">
        <f>113+113+113+268+113+113</f>
        <v>833</v>
      </c>
      <c r="E51" s="136">
        <v>113</v>
      </c>
      <c r="F51" s="38">
        <f>1+1+1+1+1+1</f>
        <v>6</v>
      </c>
      <c r="G51" s="286" t="s">
        <v>571</v>
      </c>
    </row>
    <row r="52" spans="1:10" ht="35.25" customHeight="1">
      <c r="B52" s="345"/>
      <c r="C52" s="162" t="s">
        <v>572</v>
      </c>
      <c r="D52" s="137">
        <v>0</v>
      </c>
      <c r="E52" s="136">
        <v>31.7</v>
      </c>
      <c r="F52" s="38">
        <v>0</v>
      </c>
      <c r="G52" s="80" t="s">
        <v>77</v>
      </c>
    </row>
    <row r="53" spans="1:10" ht="34.5" customHeight="1">
      <c r="B53" s="345"/>
      <c r="C53" s="162" t="s">
        <v>573</v>
      </c>
      <c r="D53" s="137">
        <f>33+33</f>
        <v>66</v>
      </c>
      <c r="E53" s="136">
        <v>16.5</v>
      </c>
      <c r="F53" s="38">
        <f>1+1</f>
        <v>2</v>
      </c>
      <c r="G53" s="286" t="s">
        <v>574</v>
      </c>
      <c r="H53" s="130"/>
    </row>
    <row r="54" spans="1:10" ht="42" customHeight="1">
      <c r="B54" s="345"/>
      <c r="C54" s="162" t="s">
        <v>575</v>
      </c>
      <c r="D54" s="137">
        <v>0</v>
      </c>
      <c r="E54" s="136">
        <v>47.5</v>
      </c>
      <c r="F54" s="38">
        <v>0</v>
      </c>
      <c r="G54" s="80" t="s">
        <v>77</v>
      </c>
      <c r="H54" s="14"/>
      <c r="I54" s="14"/>
      <c r="J54" s="14"/>
    </row>
    <row r="55" spans="1:10" ht="42" customHeight="1">
      <c r="B55" s="346"/>
      <c r="C55" s="162" t="s">
        <v>576</v>
      </c>
      <c r="D55" s="137">
        <f>(16.5+16.5+16.5+16.5+16.5+16.5+17.7)+(16.5+16.5+16.5+18.3+16.5+17.7+16.5)+(16.5)+(17.1+16.5+17.7+17.7)</f>
        <v>320.7</v>
      </c>
      <c r="E55" s="136">
        <v>16.5</v>
      </c>
      <c r="F55" s="282">
        <f>1+1+1+1+1+1+1+7+1+1+1+1+1</f>
        <v>19</v>
      </c>
      <c r="G55" s="286" t="s">
        <v>577</v>
      </c>
      <c r="H55" s="288"/>
      <c r="I55" s="14"/>
      <c r="J55" s="14"/>
    </row>
    <row r="56" spans="1:10" ht="42" customHeight="1">
      <c r="B56" s="173"/>
      <c r="C56" s="162" t="s">
        <v>578</v>
      </c>
      <c r="D56" s="137">
        <v>0</v>
      </c>
      <c r="E56" s="136">
        <v>16.5</v>
      </c>
      <c r="F56" s="38">
        <v>0</v>
      </c>
      <c r="G56" s="80" t="s">
        <v>77</v>
      </c>
      <c r="H56" s="14"/>
      <c r="I56" s="14"/>
      <c r="J56" s="14"/>
    </row>
    <row r="57" spans="1:10" ht="34.5" customHeight="1">
      <c r="B57" s="15" t="s">
        <v>33</v>
      </c>
      <c r="C57" s="280"/>
      <c r="D57" s="131">
        <f>SUM(D51:D56)</f>
        <v>1219.7</v>
      </c>
      <c r="E57" s="131">
        <f>SUM(E51:E56)</f>
        <v>241.7</v>
      </c>
      <c r="F57" s="132">
        <f>SUM(F51:F56)</f>
        <v>27</v>
      </c>
      <c r="G57" s="16"/>
      <c r="H57" s="14"/>
      <c r="I57" s="14"/>
      <c r="J57" s="14"/>
    </row>
    <row r="58" spans="1:10" ht="31.5" customHeight="1">
      <c r="B58" s="388" t="s">
        <v>61</v>
      </c>
      <c r="C58" s="388"/>
      <c r="D58" s="388"/>
      <c r="E58" s="388"/>
      <c r="F58" s="388"/>
      <c r="G58" s="389"/>
    </row>
    <row r="59" spans="1:10" ht="65.25" customHeight="1">
      <c r="A59" s="17"/>
      <c r="B59" s="280" t="s">
        <v>4</v>
      </c>
      <c r="C59" s="280" t="s">
        <v>62</v>
      </c>
      <c r="D59" s="280" t="s">
        <v>6</v>
      </c>
      <c r="E59" s="280" t="s">
        <v>63</v>
      </c>
      <c r="F59" s="280" t="s">
        <v>8</v>
      </c>
      <c r="G59" s="280" t="s">
        <v>64</v>
      </c>
    </row>
    <row r="60" spans="1:10" ht="33" customHeight="1">
      <c r="B60" s="427" t="s">
        <v>65</v>
      </c>
      <c r="C60" s="7" t="s">
        <v>579</v>
      </c>
      <c r="D60" s="287">
        <v>2325</v>
      </c>
      <c r="E60" s="287">
        <v>2325</v>
      </c>
      <c r="F60" s="20">
        <v>1</v>
      </c>
      <c r="G60" s="286"/>
    </row>
    <row r="61" spans="1:10" ht="33" customHeight="1">
      <c r="B61" s="414"/>
      <c r="C61" s="7" t="s">
        <v>580</v>
      </c>
      <c r="D61" s="287">
        <v>0</v>
      </c>
      <c r="E61" s="287">
        <v>0</v>
      </c>
      <c r="F61" s="20">
        <v>1</v>
      </c>
      <c r="G61" s="7" t="s">
        <v>430</v>
      </c>
    </row>
    <row r="62" spans="1:10" ht="33" customHeight="1">
      <c r="B62" s="415"/>
      <c r="C62" s="7" t="s">
        <v>581</v>
      </c>
      <c r="D62" s="287">
        <v>0</v>
      </c>
      <c r="E62" s="287">
        <v>0</v>
      </c>
      <c r="F62" s="20">
        <v>1</v>
      </c>
      <c r="G62" s="7" t="s">
        <v>430</v>
      </c>
    </row>
    <row r="63" spans="1:10" ht="21.75" customHeight="1">
      <c r="B63" s="28" t="s">
        <v>33</v>
      </c>
      <c r="C63" s="289"/>
      <c r="D63" s="285">
        <f>SUM(D60:D62)</f>
        <v>2325</v>
      </c>
      <c r="E63" s="285">
        <f>SUM(E60:E62)</f>
        <v>2325</v>
      </c>
      <c r="F63" s="290">
        <f>SUM(F60:F62)</f>
        <v>3</v>
      </c>
      <c r="G63" s="21"/>
    </row>
    <row r="64" spans="1:10" ht="27.75" customHeight="1">
      <c r="B64" s="395" t="s">
        <v>136</v>
      </c>
      <c r="C64" s="7" t="s">
        <v>582</v>
      </c>
      <c r="D64" s="287">
        <v>1292.94</v>
      </c>
      <c r="E64" s="287">
        <v>2603</v>
      </c>
      <c r="F64" s="20">
        <v>55</v>
      </c>
      <c r="G64" s="291"/>
      <c r="H64" s="130"/>
    </row>
    <row r="65" spans="2:9" ht="28.5" customHeight="1">
      <c r="B65" s="396"/>
      <c r="C65" s="7" t="s">
        <v>583</v>
      </c>
      <c r="D65" s="281">
        <v>799.04</v>
      </c>
      <c r="E65" s="287">
        <v>1188.72</v>
      </c>
      <c r="F65" s="20">
        <v>40</v>
      </c>
      <c r="G65" s="291"/>
      <c r="H65" s="130"/>
      <c r="I65" s="130"/>
    </row>
    <row r="66" spans="2:9" ht="29.25" customHeight="1">
      <c r="B66" s="28" t="s">
        <v>33</v>
      </c>
      <c r="C66" s="29"/>
      <c r="D66" s="285">
        <f>SUM(D64:D65)</f>
        <v>2091.98</v>
      </c>
      <c r="E66" s="285">
        <f>SUM(E64:E65)</f>
        <v>3791.7200000000003</v>
      </c>
      <c r="F66" s="132">
        <f>SUM(F64:F65)</f>
        <v>95</v>
      </c>
      <c r="G66" s="21"/>
    </row>
    <row r="67" spans="2:9" ht="24" customHeight="1">
      <c r="B67" s="18" t="s">
        <v>70</v>
      </c>
      <c r="C67" s="19"/>
      <c r="D67" s="19">
        <v>0</v>
      </c>
      <c r="E67" s="19">
        <v>0</v>
      </c>
      <c r="F67" s="20">
        <v>0</v>
      </c>
      <c r="G67" s="21"/>
    </row>
    <row r="68" spans="2:9" ht="27" customHeight="1">
      <c r="B68" s="28" t="s">
        <v>33</v>
      </c>
      <c r="C68" s="289"/>
      <c r="D68" s="125">
        <f>SUM(D67)</f>
        <v>0</v>
      </c>
      <c r="E68" s="125">
        <f>SUM(E67)</f>
        <v>0</v>
      </c>
      <c r="F68" s="126">
        <f>SUM(F67)</f>
        <v>0</v>
      </c>
      <c r="G68" s="21"/>
    </row>
    <row r="69" spans="2:9" ht="33" customHeight="1">
      <c r="B69" s="18" t="s">
        <v>73</v>
      </c>
      <c r="C69" s="19"/>
      <c r="D69" s="19">
        <v>0</v>
      </c>
      <c r="E69" s="19">
        <v>0</v>
      </c>
      <c r="F69" s="20">
        <v>0</v>
      </c>
      <c r="G69" s="21"/>
    </row>
    <row r="70" spans="2:9" ht="24.75" customHeight="1">
      <c r="B70" s="28" t="s">
        <v>33</v>
      </c>
      <c r="C70" s="289"/>
      <c r="D70" s="125">
        <f>SUM(D69)</f>
        <v>0</v>
      </c>
      <c r="E70" s="125">
        <f>SUM(E69)</f>
        <v>0</v>
      </c>
      <c r="F70" s="126">
        <f>SUM(F69)</f>
        <v>0</v>
      </c>
      <c r="G70" s="21"/>
    </row>
    <row r="71" spans="2:9" ht="30.75" customHeight="1">
      <c r="B71" s="18" t="s">
        <v>74</v>
      </c>
      <c r="C71" s="31"/>
      <c r="D71" s="19">
        <v>0</v>
      </c>
      <c r="E71" s="19">
        <v>0</v>
      </c>
      <c r="F71" s="20">
        <v>0</v>
      </c>
      <c r="G71" s="21"/>
    </row>
    <row r="72" spans="2:9" ht="15.6">
      <c r="B72" s="28" t="s">
        <v>33</v>
      </c>
      <c r="C72" s="289"/>
      <c r="D72" s="125">
        <f>SUM(D71)</f>
        <v>0</v>
      </c>
      <c r="E72" s="125">
        <f>SUM(E71)</f>
        <v>0</v>
      </c>
      <c r="F72" s="126">
        <f>SUM(F71)</f>
        <v>0</v>
      </c>
      <c r="G72" s="21"/>
    </row>
    <row r="73" spans="2:9" ht="17.25" customHeight="1">
      <c r="B73" s="386"/>
      <c r="C73" s="386"/>
      <c r="D73" s="386"/>
      <c r="E73" s="386"/>
      <c r="F73" s="386"/>
      <c r="G73" s="386"/>
    </row>
    <row r="74" spans="2:9" ht="33" customHeight="1">
      <c r="B74" s="15" t="s">
        <v>75</v>
      </c>
      <c r="C74" s="29"/>
      <c r="D74" s="292">
        <f>D50+D57+D63+D66+D68+D70+D72</f>
        <v>56532.04</v>
      </c>
      <c r="E74" s="292">
        <f>E50+E57+E63+E66+E68+E70+E72</f>
        <v>6475.72</v>
      </c>
      <c r="F74" s="295">
        <f>F50+F57+F63+F66+F68+F70+F72</f>
        <v>306</v>
      </c>
      <c r="G74" s="21"/>
    </row>
    <row r="75" spans="2:9">
      <c r="B75" s="33"/>
      <c r="C75" s="34"/>
      <c r="D75" s="34"/>
      <c r="E75" s="34"/>
      <c r="F75" s="34"/>
    </row>
    <row r="76" spans="2:9">
      <c r="B76" s="35" t="s">
        <v>442</v>
      </c>
    </row>
    <row r="77" spans="2:9">
      <c r="B77" s="35"/>
    </row>
    <row r="78" spans="2:9">
      <c r="B78" s="36" t="s">
        <v>584</v>
      </c>
    </row>
    <row r="79" spans="2:9">
      <c r="B79" s="36" t="s">
        <v>585</v>
      </c>
    </row>
    <row r="80" spans="2:9">
      <c r="B80" s="37"/>
    </row>
    <row r="81" spans="2:4">
      <c r="B81" t="s">
        <v>586</v>
      </c>
    </row>
    <row r="82" spans="2:4">
      <c r="B82" s="343"/>
      <c r="C82" s="343"/>
      <c r="D82" s="343"/>
    </row>
    <row r="83" spans="2:4">
      <c r="B83" t="s">
        <v>79</v>
      </c>
      <c r="C83"/>
    </row>
    <row r="84" spans="2:4" ht="15.75" customHeight="1"/>
  </sheetData>
  <mergeCells count="10">
    <mergeCell ref="B60:B62"/>
    <mergeCell ref="B64:B65"/>
    <mergeCell ref="B73:G73"/>
    <mergeCell ref="B82:D82"/>
    <mergeCell ref="B4:G4"/>
    <mergeCell ref="B5:G5"/>
    <mergeCell ref="B6:G6"/>
    <mergeCell ref="B8:B47"/>
    <mergeCell ref="B51:B55"/>
    <mergeCell ref="B58:G5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09AC-9D5D-4A41-B0D7-01881D5CFF31}">
  <dimension ref="A1:J83"/>
  <sheetViews>
    <sheetView topLeftCell="A67" workbookViewId="0">
      <selection activeCell="F72" sqref="F72"/>
    </sheetView>
  </sheetViews>
  <sheetFormatPr defaultColWidth="9.109375" defaultRowHeight="14.4"/>
  <cols>
    <col min="1" max="1" width="3.44140625" customWidth="1"/>
    <col min="2" max="2" width="45.109375" customWidth="1"/>
    <col min="3" max="3" width="58.6640625" customWidth="1"/>
    <col min="4" max="4" width="16.6640625" customWidth="1"/>
    <col min="5" max="5" width="24.88671875" customWidth="1"/>
    <col min="6" max="6" width="15.33203125" customWidth="1"/>
    <col min="7" max="7" width="39" customWidth="1"/>
    <col min="8" max="8" width="2.6640625" customWidth="1"/>
  </cols>
  <sheetData>
    <row r="1" spans="2:7" ht="30" customHeight="1">
      <c r="B1" s="296" t="s">
        <v>0</v>
      </c>
    </row>
    <row r="2" spans="2:7" ht="25.5" customHeight="1">
      <c r="B2" s="296" t="s">
        <v>1</v>
      </c>
      <c r="D2" s="196"/>
      <c r="E2" s="196"/>
    </row>
    <row r="3" spans="2:7" ht="13.2" customHeight="1">
      <c r="B3" s="296"/>
      <c r="D3" s="196"/>
      <c r="E3" s="196"/>
    </row>
    <row r="4" spans="2:7" ht="32.25" customHeight="1">
      <c r="B4" s="436" t="s">
        <v>642</v>
      </c>
      <c r="C4" s="436"/>
      <c r="D4" s="436"/>
      <c r="E4" s="436"/>
      <c r="F4" s="436"/>
      <c r="G4" s="436"/>
    </row>
    <row r="5" spans="2:7" ht="31.5" customHeight="1">
      <c r="B5" s="436" t="s">
        <v>587</v>
      </c>
      <c r="C5" s="436"/>
      <c r="D5" s="436"/>
      <c r="E5" s="436"/>
      <c r="F5" s="436"/>
      <c r="G5" s="436"/>
    </row>
    <row r="6" spans="2:7" ht="26.25" customHeight="1">
      <c r="B6" s="437" t="s">
        <v>3</v>
      </c>
      <c r="C6" s="437"/>
      <c r="D6" s="437"/>
      <c r="E6" s="437"/>
      <c r="F6" s="437"/>
      <c r="G6" s="437"/>
    </row>
    <row r="7" spans="2:7" ht="55.5" customHeight="1">
      <c r="B7" s="297" t="s">
        <v>4</v>
      </c>
      <c r="C7" s="298" t="s">
        <v>5</v>
      </c>
      <c r="D7" s="298" t="s">
        <v>6</v>
      </c>
      <c r="E7" s="298" t="s">
        <v>588</v>
      </c>
      <c r="F7" s="298" t="s">
        <v>8</v>
      </c>
      <c r="G7" s="299" t="s">
        <v>9</v>
      </c>
    </row>
    <row r="8" spans="2:7" ht="28.8">
      <c r="B8" s="344" t="s">
        <v>589</v>
      </c>
      <c r="C8" s="7" t="s">
        <v>590</v>
      </c>
      <c r="D8" s="104">
        <v>186.82</v>
      </c>
      <c r="E8" s="104">
        <v>1.8</v>
      </c>
      <c r="F8" s="324">
        <v>3</v>
      </c>
      <c r="G8" s="300"/>
    </row>
    <row r="9" spans="2:7" ht="28.8">
      <c r="B9" s="345"/>
      <c r="C9" s="7" t="s">
        <v>591</v>
      </c>
      <c r="D9" s="104">
        <v>251.57</v>
      </c>
      <c r="E9" s="104">
        <v>3</v>
      </c>
      <c r="F9" s="324">
        <v>4</v>
      </c>
      <c r="G9" s="300"/>
    </row>
    <row r="10" spans="2:7" ht="28.8">
      <c r="B10" s="345"/>
      <c r="C10" s="7" t="s">
        <v>592</v>
      </c>
      <c r="D10" s="104">
        <v>104.4</v>
      </c>
      <c r="E10" s="104">
        <v>3</v>
      </c>
      <c r="F10" s="324">
        <v>1</v>
      </c>
      <c r="G10" s="300"/>
    </row>
    <row r="11" spans="2:7" ht="28.8">
      <c r="B11" s="345"/>
      <c r="C11" s="7" t="s">
        <v>593</v>
      </c>
      <c r="D11" s="104">
        <v>27</v>
      </c>
      <c r="E11" s="104">
        <v>3</v>
      </c>
      <c r="F11" s="324">
        <v>1</v>
      </c>
      <c r="G11" s="300"/>
    </row>
    <row r="12" spans="2:7" ht="28.8">
      <c r="B12" s="345"/>
      <c r="C12" s="7" t="s">
        <v>594</v>
      </c>
      <c r="D12" s="104">
        <v>1001.1</v>
      </c>
      <c r="E12" s="104">
        <v>3</v>
      </c>
      <c r="F12" s="324">
        <v>4</v>
      </c>
      <c r="G12" s="300"/>
    </row>
    <row r="13" spans="2:7" ht="28.8">
      <c r="B13" s="345"/>
      <c r="C13" s="7" t="s">
        <v>595</v>
      </c>
      <c r="D13" s="104">
        <v>797.4</v>
      </c>
      <c r="E13" s="104">
        <v>3</v>
      </c>
      <c r="F13" s="324">
        <v>2</v>
      </c>
      <c r="G13" s="300"/>
    </row>
    <row r="14" spans="2:7" ht="28.8">
      <c r="B14" s="345"/>
      <c r="C14" s="7" t="s">
        <v>596</v>
      </c>
      <c r="D14" s="104">
        <v>300.89999999999998</v>
      </c>
      <c r="E14" s="104">
        <v>3</v>
      </c>
      <c r="F14" s="324">
        <v>3</v>
      </c>
      <c r="G14" s="300"/>
    </row>
    <row r="15" spans="2:7" ht="28.95" customHeight="1">
      <c r="B15" s="345"/>
      <c r="C15" s="7" t="s">
        <v>597</v>
      </c>
      <c r="D15" s="104">
        <v>401.1</v>
      </c>
      <c r="E15" s="104">
        <v>3</v>
      </c>
      <c r="F15" s="324">
        <v>3</v>
      </c>
      <c r="G15" s="300"/>
    </row>
    <row r="16" spans="2:7" ht="28.8">
      <c r="B16" s="345"/>
      <c r="C16" s="7" t="s">
        <v>598</v>
      </c>
      <c r="D16" s="104">
        <v>122.4</v>
      </c>
      <c r="E16" s="104">
        <v>1.8</v>
      </c>
      <c r="F16" s="324">
        <v>1</v>
      </c>
      <c r="G16" s="300"/>
    </row>
    <row r="17" spans="2:7" ht="28.8">
      <c r="B17" s="345"/>
      <c r="C17" s="7" t="s">
        <v>599</v>
      </c>
      <c r="D17" s="104">
        <v>17.8</v>
      </c>
      <c r="E17" s="104">
        <v>3</v>
      </c>
      <c r="F17" s="324">
        <v>1</v>
      </c>
      <c r="G17" s="300"/>
    </row>
    <row r="18" spans="2:7" ht="28.8">
      <c r="B18" s="345"/>
      <c r="C18" s="7" t="s">
        <v>600</v>
      </c>
      <c r="D18" s="104">
        <v>300.60000000000002</v>
      </c>
      <c r="E18" s="104">
        <v>3</v>
      </c>
      <c r="F18" s="324">
        <v>2</v>
      </c>
      <c r="G18" s="300"/>
    </row>
    <row r="19" spans="2:7" ht="28.8">
      <c r="B19" s="345"/>
      <c r="C19" s="7" t="s">
        <v>601</v>
      </c>
      <c r="D19" s="315">
        <v>861.6</v>
      </c>
      <c r="E19" s="104">
        <v>1.8</v>
      </c>
      <c r="F19" s="324">
        <v>2</v>
      </c>
      <c r="G19" s="300"/>
    </row>
    <row r="20" spans="2:7" ht="28.8">
      <c r="B20" s="345"/>
      <c r="C20" s="7" t="s">
        <v>602</v>
      </c>
      <c r="D20" s="315">
        <v>0</v>
      </c>
      <c r="E20" s="104">
        <v>1.8</v>
      </c>
      <c r="F20" s="324">
        <v>0</v>
      </c>
      <c r="G20" s="80" t="s">
        <v>77</v>
      </c>
    </row>
    <row r="21" spans="2:7" ht="28.8">
      <c r="B21" s="345"/>
      <c r="C21" s="7" t="s">
        <v>603</v>
      </c>
      <c r="D21" s="315">
        <v>89.1</v>
      </c>
      <c r="E21" s="104">
        <v>3</v>
      </c>
      <c r="F21" s="324">
        <v>1</v>
      </c>
      <c r="G21" s="300"/>
    </row>
    <row r="22" spans="2:7" ht="28.8">
      <c r="B22" s="345"/>
      <c r="C22" s="7" t="s">
        <v>604</v>
      </c>
      <c r="D22" s="104">
        <v>259</v>
      </c>
      <c r="E22" s="104">
        <v>3</v>
      </c>
      <c r="F22" s="324">
        <v>1</v>
      </c>
      <c r="G22" s="300"/>
    </row>
    <row r="23" spans="2:7" ht="28.8">
      <c r="B23" s="345"/>
      <c r="C23" s="7" t="s">
        <v>605</v>
      </c>
      <c r="D23" s="104">
        <v>239.4</v>
      </c>
      <c r="E23" s="104">
        <v>1.8</v>
      </c>
      <c r="F23" s="324">
        <v>1</v>
      </c>
      <c r="G23" s="300"/>
    </row>
    <row r="24" spans="2:7" ht="28.8">
      <c r="B24" s="345"/>
      <c r="C24" s="7" t="s">
        <v>606</v>
      </c>
      <c r="D24" s="104">
        <v>615.6</v>
      </c>
      <c r="E24" s="104">
        <v>1.8</v>
      </c>
      <c r="F24" s="324">
        <v>1</v>
      </c>
      <c r="G24" s="300"/>
    </row>
    <row r="25" spans="2:7" ht="28.8">
      <c r="B25" s="345"/>
      <c r="C25" s="7" t="s">
        <v>607</v>
      </c>
      <c r="D25" s="104">
        <v>577.23</v>
      </c>
      <c r="E25" s="104">
        <v>4.5</v>
      </c>
      <c r="F25" s="324">
        <v>3</v>
      </c>
      <c r="G25" s="300"/>
    </row>
    <row r="26" spans="2:7" ht="28.8">
      <c r="B26" s="345"/>
      <c r="C26" s="7" t="s">
        <v>608</v>
      </c>
      <c r="D26" s="104">
        <v>1344.14</v>
      </c>
      <c r="E26" s="104">
        <v>4.5</v>
      </c>
      <c r="F26" s="324">
        <v>4</v>
      </c>
      <c r="G26" s="300"/>
    </row>
    <row r="27" spans="2:7" ht="28.8">
      <c r="B27" s="345"/>
      <c r="C27" s="7" t="s">
        <v>609</v>
      </c>
      <c r="D27" s="104">
        <v>371.02</v>
      </c>
      <c r="E27" s="104">
        <v>3</v>
      </c>
      <c r="F27" s="324">
        <v>4</v>
      </c>
      <c r="G27" s="300"/>
    </row>
    <row r="28" spans="2:7" ht="28.8">
      <c r="B28" s="345"/>
      <c r="C28" s="7" t="s">
        <v>610</v>
      </c>
      <c r="D28" s="104">
        <v>520.80999999999995</v>
      </c>
      <c r="E28" s="104">
        <v>3</v>
      </c>
      <c r="F28" s="324">
        <v>3</v>
      </c>
      <c r="G28" s="300"/>
    </row>
    <row r="29" spans="2:7" ht="28.8">
      <c r="B29" s="345"/>
      <c r="C29" s="7" t="s">
        <v>611</v>
      </c>
      <c r="D29" s="104">
        <v>374.85</v>
      </c>
      <c r="E29" s="104">
        <v>3</v>
      </c>
      <c r="F29" s="324">
        <v>2</v>
      </c>
      <c r="G29" s="300"/>
    </row>
    <row r="30" spans="2:7" ht="28.8">
      <c r="B30" s="345"/>
      <c r="C30" s="7" t="s">
        <v>612</v>
      </c>
      <c r="D30" s="104">
        <v>4063.95</v>
      </c>
      <c r="E30" s="104">
        <v>4.5</v>
      </c>
      <c r="F30" s="324">
        <v>10</v>
      </c>
      <c r="G30" s="300"/>
    </row>
    <row r="31" spans="2:7" ht="28.8">
      <c r="B31" s="345"/>
      <c r="C31" s="7" t="s">
        <v>613</v>
      </c>
      <c r="D31" s="104">
        <v>1658.7</v>
      </c>
      <c r="E31" s="104">
        <v>3</v>
      </c>
      <c r="F31" s="324">
        <v>2</v>
      </c>
      <c r="G31" s="300"/>
    </row>
    <row r="32" spans="2:7" ht="28.8">
      <c r="B32" s="345"/>
      <c r="C32" s="7" t="s">
        <v>614</v>
      </c>
      <c r="D32" s="104">
        <v>652.70000000000005</v>
      </c>
      <c r="E32" s="104">
        <v>3</v>
      </c>
      <c r="F32" s="324">
        <v>3</v>
      </c>
      <c r="G32" s="21"/>
    </row>
    <row r="33" spans="2:9" ht="28.8">
      <c r="B33" s="345"/>
      <c r="C33" s="7" t="s">
        <v>615</v>
      </c>
      <c r="D33" s="104">
        <v>1365.1</v>
      </c>
      <c r="E33" s="104">
        <v>3</v>
      </c>
      <c r="F33" s="324">
        <v>7</v>
      </c>
      <c r="G33" s="89"/>
    </row>
    <row r="34" spans="2:9" ht="28.8">
      <c r="B34" s="345"/>
      <c r="C34" s="7" t="s">
        <v>616</v>
      </c>
      <c r="D34" s="104">
        <v>206.9</v>
      </c>
      <c r="E34" s="104">
        <v>1.8</v>
      </c>
      <c r="F34" s="324">
        <v>1</v>
      </c>
      <c r="G34" s="300"/>
    </row>
    <row r="35" spans="2:9" ht="28.8">
      <c r="B35" s="346"/>
      <c r="C35" s="7" t="s">
        <v>617</v>
      </c>
      <c r="D35" s="104">
        <v>413.8</v>
      </c>
      <c r="E35" s="104">
        <v>1.8</v>
      </c>
      <c r="F35" s="324">
        <v>1</v>
      </c>
      <c r="G35" s="89"/>
    </row>
    <row r="36" spans="2:9" ht="25.5" customHeight="1">
      <c r="B36" s="301" t="s">
        <v>33</v>
      </c>
      <c r="C36" s="302"/>
      <c r="D36" s="316">
        <f>SUM(D8:D35)</f>
        <v>17124.990000000002</v>
      </c>
      <c r="E36" s="316">
        <f>SUM(E8:E35)</f>
        <v>78.899999999999977</v>
      </c>
      <c r="F36" s="325">
        <f>SUM(F8:F35)</f>
        <v>71</v>
      </c>
      <c r="G36" s="303"/>
      <c r="H36" s="304"/>
      <c r="I36" s="304"/>
    </row>
    <row r="37" spans="2:9" ht="28.8">
      <c r="B37" s="429" t="s">
        <v>618</v>
      </c>
      <c r="C37" s="305" t="s">
        <v>619</v>
      </c>
      <c r="D37" s="317">
        <v>1765.8</v>
      </c>
      <c r="E37" s="318">
        <v>37</v>
      </c>
      <c r="F37" s="306">
        <v>2</v>
      </c>
      <c r="G37" s="89"/>
    </row>
    <row r="38" spans="2:9" ht="28.8">
      <c r="B38" s="429"/>
      <c r="C38" s="305" t="s">
        <v>619</v>
      </c>
      <c r="D38" s="317">
        <v>0</v>
      </c>
      <c r="E38" s="318">
        <v>0</v>
      </c>
      <c r="F38" s="306">
        <v>0</v>
      </c>
      <c r="G38" s="80" t="s">
        <v>77</v>
      </c>
    </row>
    <row r="39" spans="2:9" ht="28.8">
      <c r="B39" s="429"/>
      <c r="C39" s="307" t="s">
        <v>620</v>
      </c>
      <c r="D39" s="318">
        <v>2745</v>
      </c>
      <c r="E39" s="318">
        <v>37</v>
      </c>
      <c r="F39" s="306">
        <v>6</v>
      </c>
      <c r="G39" s="89"/>
    </row>
    <row r="40" spans="2:9" ht="28.8">
      <c r="B40" s="429"/>
      <c r="C40" s="305" t="s">
        <v>620</v>
      </c>
      <c r="D40" s="319">
        <v>0</v>
      </c>
      <c r="E40" s="318">
        <v>0</v>
      </c>
      <c r="F40" s="306">
        <v>0</v>
      </c>
      <c r="G40" s="80" t="s">
        <v>77</v>
      </c>
    </row>
    <row r="41" spans="2:9" ht="28.8">
      <c r="B41" s="429"/>
      <c r="C41" s="307" t="s">
        <v>621</v>
      </c>
      <c r="D41" s="319">
        <v>1914.3</v>
      </c>
      <c r="E41" s="318">
        <v>37</v>
      </c>
      <c r="F41" s="306">
        <v>9</v>
      </c>
      <c r="G41" s="89"/>
    </row>
    <row r="42" spans="2:9" ht="28.8">
      <c r="B42" s="429"/>
      <c r="C42" s="305" t="s">
        <v>621</v>
      </c>
      <c r="D42" s="319">
        <v>0</v>
      </c>
      <c r="E42" s="318">
        <v>0</v>
      </c>
      <c r="F42" s="306">
        <v>4</v>
      </c>
      <c r="G42" s="202" t="s">
        <v>430</v>
      </c>
    </row>
    <row r="43" spans="2:9" ht="28.8">
      <c r="B43" s="429"/>
      <c r="C43" s="305" t="s">
        <v>622</v>
      </c>
      <c r="D43" s="319">
        <v>9435</v>
      </c>
      <c r="E43" s="318">
        <v>37</v>
      </c>
      <c r="F43" s="306">
        <v>9</v>
      </c>
      <c r="G43" s="89"/>
    </row>
    <row r="44" spans="2:9" ht="28.8">
      <c r="B44" s="429"/>
      <c r="C44" s="305" t="s">
        <v>622</v>
      </c>
      <c r="D44" s="319">
        <v>0</v>
      </c>
      <c r="E44" s="318">
        <v>0</v>
      </c>
      <c r="F44" s="306">
        <v>0</v>
      </c>
      <c r="G44" s="80" t="s">
        <v>77</v>
      </c>
    </row>
    <row r="45" spans="2:9" ht="28.8">
      <c r="B45" s="429"/>
      <c r="C45" s="305" t="s">
        <v>623</v>
      </c>
      <c r="D45" s="319">
        <v>249</v>
      </c>
      <c r="E45" s="318">
        <v>83</v>
      </c>
      <c r="F45" s="306">
        <v>3</v>
      </c>
      <c r="G45" s="89"/>
    </row>
    <row r="46" spans="2:9" ht="28.8">
      <c r="B46" s="429"/>
      <c r="C46" s="305" t="s">
        <v>623</v>
      </c>
      <c r="D46" s="319">
        <v>0</v>
      </c>
      <c r="E46" s="319">
        <v>0</v>
      </c>
      <c r="F46" s="306">
        <v>6</v>
      </c>
      <c r="G46" s="202" t="s">
        <v>430</v>
      </c>
    </row>
    <row r="47" spans="2:9" ht="28.8">
      <c r="B47" s="429"/>
      <c r="C47" s="305" t="s">
        <v>624</v>
      </c>
      <c r="D47" s="319">
        <v>124</v>
      </c>
      <c r="E47" s="318">
        <v>124</v>
      </c>
      <c r="F47" s="306">
        <v>1</v>
      </c>
      <c r="G47" s="89"/>
    </row>
    <row r="48" spans="2:9" ht="28.8">
      <c r="B48" s="429"/>
      <c r="C48" s="305" t="s">
        <v>624</v>
      </c>
      <c r="D48" s="319">
        <v>0</v>
      </c>
      <c r="E48" s="318">
        <v>0</v>
      </c>
      <c r="F48" s="306">
        <v>7</v>
      </c>
      <c r="G48" s="202" t="s">
        <v>430</v>
      </c>
    </row>
    <row r="49" spans="1:10" ht="28.8">
      <c r="B49" s="429"/>
      <c r="C49" s="307" t="s">
        <v>625</v>
      </c>
      <c r="D49" s="319">
        <v>1184</v>
      </c>
      <c r="E49" s="318">
        <v>18.5</v>
      </c>
      <c r="F49" s="306">
        <v>4</v>
      </c>
      <c r="G49" s="308"/>
    </row>
    <row r="50" spans="1:10" ht="28.8">
      <c r="B50" s="429"/>
      <c r="C50" s="305" t="s">
        <v>625</v>
      </c>
      <c r="D50" s="319">
        <v>0</v>
      </c>
      <c r="E50" s="318">
        <v>0</v>
      </c>
      <c r="F50" s="306">
        <v>1</v>
      </c>
      <c r="G50" s="202" t="s">
        <v>430</v>
      </c>
    </row>
    <row r="51" spans="1:10" ht="28.8">
      <c r="B51" s="429"/>
      <c r="C51" s="305" t="s">
        <v>626</v>
      </c>
      <c r="D51" s="319">
        <v>700</v>
      </c>
      <c r="E51" s="318">
        <v>25</v>
      </c>
      <c r="F51" s="306">
        <v>2</v>
      </c>
      <c r="G51" s="89"/>
    </row>
    <row r="52" spans="1:10" ht="28.8">
      <c r="B52" s="429"/>
      <c r="C52" s="305" t="s">
        <v>626</v>
      </c>
      <c r="D52" s="319">
        <v>0</v>
      </c>
      <c r="E52" s="318">
        <v>0</v>
      </c>
      <c r="F52" s="306">
        <v>1</v>
      </c>
      <c r="G52" s="202" t="s">
        <v>430</v>
      </c>
    </row>
    <row r="53" spans="1:10" ht="28.8">
      <c r="B53" s="429"/>
      <c r="C53" s="307" t="s">
        <v>627</v>
      </c>
      <c r="D53" s="319">
        <v>3472</v>
      </c>
      <c r="E53" s="318">
        <v>124</v>
      </c>
      <c r="F53" s="306">
        <v>15</v>
      </c>
      <c r="G53" s="89"/>
    </row>
    <row r="54" spans="1:10" ht="28.8">
      <c r="B54" s="429"/>
      <c r="C54" s="307" t="s">
        <v>627</v>
      </c>
      <c r="D54" s="319">
        <v>0</v>
      </c>
      <c r="E54" s="319">
        <v>0</v>
      </c>
      <c r="F54" s="306">
        <v>16</v>
      </c>
      <c r="G54" s="202" t="s">
        <v>430</v>
      </c>
    </row>
    <row r="55" spans="1:10" ht="25.5" customHeight="1">
      <c r="B55" s="301" t="s">
        <v>33</v>
      </c>
      <c r="C55" s="309"/>
      <c r="D55" s="320">
        <f>SUM(D37:D54)</f>
        <v>21589.1</v>
      </c>
      <c r="E55" s="320">
        <f>SUM(E37:E54)</f>
        <v>522.5</v>
      </c>
      <c r="F55" s="326">
        <f>SUM(F37:F54)</f>
        <v>86</v>
      </c>
      <c r="G55" s="303"/>
      <c r="H55" s="304"/>
      <c r="I55" s="304"/>
    </row>
    <row r="56" spans="1:10" ht="31.5" customHeight="1">
      <c r="B56" s="430" t="s">
        <v>61</v>
      </c>
      <c r="C56" s="431"/>
      <c r="D56" s="431"/>
      <c r="E56" s="431"/>
      <c r="F56" s="431"/>
      <c r="G56" s="432"/>
    </row>
    <row r="57" spans="1:10" ht="53.25" customHeight="1">
      <c r="A57" s="17"/>
      <c r="B57" s="298" t="s">
        <v>4</v>
      </c>
      <c r="C57" s="298" t="s">
        <v>62</v>
      </c>
      <c r="D57" s="298" t="s">
        <v>6</v>
      </c>
      <c r="E57" s="298" t="s">
        <v>628</v>
      </c>
      <c r="F57" s="298" t="s">
        <v>8</v>
      </c>
      <c r="G57" s="299" t="s">
        <v>64</v>
      </c>
    </row>
    <row r="58" spans="1:10" ht="33" customHeight="1">
      <c r="B58" s="18" t="s">
        <v>65</v>
      </c>
      <c r="C58" s="93"/>
      <c r="D58" s="49">
        <v>0</v>
      </c>
      <c r="E58" s="49">
        <v>0</v>
      </c>
      <c r="F58" s="324">
        <v>0</v>
      </c>
      <c r="G58" s="80" t="s">
        <v>77</v>
      </c>
    </row>
    <row r="59" spans="1:10" ht="24.75" customHeight="1">
      <c r="B59" s="310" t="s">
        <v>33</v>
      </c>
      <c r="C59" s="311"/>
      <c r="D59" s="321">
        <f>SUM(D58)</f>
        <v>0</v>
      </c>
      <c r="E59" s="321">
        <f>SUM(E58)</f>
        <v>0</v>
      </c>
      <c r="F59" s="312">
        <f>SUM(F58)</f>
        <v>0</v>
      </c>
      <c r="G59" s="21"/>
    </row>
    <row r="60" spans="1:10" ht="43.2">
      <c r="B60" s="427" t="s">
        <v>136</v>
      </c>
      <c r="C60" s="313" t="s">
        <v>629</v>
      </c>
      <c r="D60" s="39">
        <v>564.66</v>
      </c>
      <c r="E60" s="230">
        <v>352</v>
      </c>
      <c r="F60" s="324">
        <v>8</v>
      </c>
      <c r="G60" s="18" t="s">
        <v>630</v>
      </c>
      <c r="J60" s="314"/>
    </row>
    <row r="61" spans="1:10" ht="64.8" customHeight="1">
      <c r="B61" s="414"/>
      <c r="C61" s="313" t="s">
        <v>631</v>
      </c>
      <c r="D61" s="39">
        <v>2053.9899999999998</v>
      </c>
      <c r="E61" s="230">
        <v>1248</v>
      </c>
      <c r="F61" s="324">
        <v>24</v>
      </c>
      <c r="G61" s="18" t="s">
        <v>632</v>
      </c>
    </row>
    <row r="62" spans="1:10" ht="61.2" customHeight="1">
      <c r="B62" s="415"/>
      <c r="C62" s="313" t="s">
        <v>633</v>
      </c>
      <c r="D62" s="39">
        <v>2240</v>
      </c>
      <c r="E62" s="230">
        <v>1400</v>
      </c>
      <c r="F62" s="324">
        <v>20</v>
      </c>
      <c r="G62" s="18" t="s">
        <v>634</v>
      </c>
    </row>
    <row r="63" spans="1:10" ht="24.75" customHeight="1">
      <c r="B63" s="310" t="s">
        <v>33</v>
      </c>
      <c r="C63" s="311"/>
      <c r="D63" s="321">
        <f>SUM(D60:D62)</f>
        <v>4858.6499999999996</v>
      </c>
      <c r="E63" s="321">
        <f>SUM(E60:E62)</f>
        <v>3000</v>
      </c>
      <c r="F63" s="327">
        <f>SUM(F60:F62)</f>
        <v>52</v>
      </c>
      <c r="G63" s="21"/>
    </row>
    <row r="64" spans="1:10" ht="33" customHeight="1">
      <c r="B64" s="18" t="s">
        <v>70</v>
      </c>
      <c r="C64" s="93" t="s">
        <v>635</v>
      </c>
      <c r="D64" s="49">
        <v>0</v>
      </c>
      <c r="E64" s="49">
        <v>15817.85</v>
      </c>
      <c r="F64" s="324">
        <v>1</v>
      </c>
      <c r="G64" s="21"/>
    </row>
    <row r="65" spans="2:7" ht="24.75" customHeight="1">
      <c r="B65" s="310" t="s">
        <v>33</v>
      </c>
      <c r="C65" s="311"/>
      <c r="D65" s="321">
        <f>SUM(D64)</f>
        <v>0</v>
      </c>
      <c r="E65" s="321">
        <f>SUM(E64)</f>
        <v>15817.85</v>
      </c>
      <c r="F65" s="312">
        <f>SUM(F64)</f>
        <v>1</v>
      </c>
      <c r="G65" s="21"/>
    </row>
    <row r="66" spans="2:7" ht="31.2" customHeight="1">
      <c r="B66" s="427" t="s">
        <v>73</v>
      </c>
      <c r="C66" s="93" t="s">
        <v>636</v>
      </c>
      <c r="D66" s="322">
        <v>3000</v>
      </c>
      <c r="E66" s="322">
        <v>3000</v>
      </c>
      <c r="F66" s="324">
        <v>1</v>
      </c>
      <c r="G66" s="21"/>
    </row>
    <row r="67" spans="2:7" ht="33" customHeight="1">
      <c r="B67" s="415"/>
      <c r="C67" s="93" t="s">
        <v>637</v>
      </c>
      <c r="D67" s="322">
        <v>1025.96</v>
      </c>
      <c r="E67" s="322">
        <v>2051.92</v>
      </c>
      <c r="F67" s="324">
        <v>1</v>
      </c>
      <c r="G67" s="21"/>
    </row>
    <row r="68" spans="2:7" ht="24.75" customHeight="1">
      <c r="B68" s="310" t="s">
        <v>33</v>
      </c>
      <c r="C68" s="311"/>
      <c r="D68" s="321">
        <f>SUM(D66:D67)</f>
        <v>4025.96</v>
      </c>
      <c r="E68" s="321">
        <f>SUM(E66:E67)</f>
        <v>5051.92</v>
      </c>
      <c r="F68" s="312">
        <f>SUM(F66:F67)</f>
        <v>2</v>
      </c>
      <c r="G68" s="21"/>
    </row>
    <row r="69" spans="2:7" ht="30.75" customHeight="1">
      <c r="B69" s="18" t="s">
        <v>74</v>
      </c>
      <c r="C69" s="93"/>
      <c r="D69" s="323">
        <v>0</v>
      </c>
      <c r="E69" s="49">
        <v>0</v>
      </c>
      <c r="F69" s="324">
        <v>0</v>
      </c>
      <c r="G69" s="80" t="s">
        <v>77</v>
      </c>
    </row>
    <row r="70" spans="2:7" ht="24.75" customHeight="1">
      <c r="B70" s="310" t="s">
        <v>33</v>
      </c>
      <c r="C70" s="311"/>
      <c r="D70" s="321">
        <f>SUM(D69)</f>
        <v>0</v>
      </c>
      <c r="E70" s="321">
        <f>SUM(E69)</f>
        <v>0</v>
      </c>
      <c r="F70" s="312">
        <f>SUM(F69)</f>
        <v>0</v>
      </c>
      <c r="G70" s="21"/>
    </row>
    <row r="71" spans="2:7" ht="17.25" customHeight="1">
      <c r="B71" s="433"/>
      <c r="C71" s="434"/>
      <c r="D71" s="434"/>
      <c r="E71" s="434"/>
      <c r="F71" s="434"/>
      <c r="G71" s="435"/>
    </row>
    <row r="72" spans="2:7" ht="33" customHeight="1">
      <c r="B72" s="310" t="s">
        <v>638</v>
      </c>
      <c r="C72" s="311"/>
      <c r="D72" s="321">
        <f>SUM(D36+D55+D59+D63+D65+D68+D70)</f>
        <v>47598.7</v>
      </c>
      <c r="E72" s="321">
        <f>SUM(E36+E55+E59+E63+E65+E68+E70)</f>
        <v>24471.17</v>
      </c>
      <c r="F72" s="327">
        <f>SUM(F36+F55+F59+F63+F65+F68+F70)</f>
        <v>212</v>
      </c>
      <c r="G72" s="21"/>
    </row>
    <row r="73" spans="2:7">
      <c r="B73" s="33"/>
      <c r="C73" s="34"/>
      <c r="D73" s="34"/>
      <c r="E73" s="34"/>
      <c r="F73" s="34"/>
    </row>
    <row r="74" spans="2:7">
      <c r="B74" s="35" t="s">
        <v>643</v>
      </c>
    </row>
    <row r="75" spans="2:7">
      <c r="B75" s="35"/>
    </row>
    <row r="76" spans="2:7">
      <c r="B76" t="s">
        <v>217</v>
      </c>
    </row>
    <row r="77" spans="2:7">
      <c r="B77" s="36" t="s">
        <v>639</v>
      </c>
    </row>
    <row r="78" spans="2:7">
      <c r="B78" s="36" t="s">
        <v>640</v>
      </c>
    </row>
    <row r="79" spans="2:7">
      <c r="B79" s="37"/>
    </row>
    <row r="80" spans="2:7">
      <c r="B80" s="36" t="s">
        <v>641</v>
      </c>
    </row>
    <row r="82" spans="2:2">
      <c r="B82" t="s">
        <v>79</v>
      </c>
    </row>
    <row r="83" spans="2:2" ht="15.75" customHeight="1"/>
  </sheetData>
  <mergeCells count="9">
    <mergeCell ref="B71:G71"/>
    <mergeCell ref="B4:G4"/>
    <mergeCell ref="B5:G5"/>
    <mergeCell ref="B6:G6"/>
    <mergeCell ref="B8:B35"/>
    <mergeCell ref="B37:B54"/>
    <mergeCell ref="B56:G56"/>
    <mergeCell ref="B60:B62"/>
    <mergeCell ref="B66:B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TOTALE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Di Terlizzi</dc:creator>
  <cp:lastModifiedBy>Carmela Generoso</cp:lastModifiedBy>
  <dcterms:created xsi:type="dcterms:W3CDTF">2026-01-21T09:08:03Z</dcterms:created>
  <dcterms:modified xsi:type="dcterms:W3CDTF">2026-01-22T15:55:54Z</dcterms:modified>
</cp:coreProperties>
</file>