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urizio.amorosini\Desktop\REDAZIONE LAVORO\PORTALE NUOVO - SETTEMBRE 2025\Sostenibilità ambienta e Resilienza urbana\"/>
    </mc:Choice>
  </mc:AlternateContent>
  <workbookProtection workbookAlgorithmName="SHA-512" workbookHashValue="hDDpMYtU1K9fXNH2+85LNbBxC3dOKeGfMLLoy0+veQ1Zwy6k3hclUwDiFHwDbp8C6ZoocrCrILfIX7DmrOXmlg==" workbookSaltValue="l+nCUMzJFPzgKaEGbBvmZg==" workbookSpinCount="100000" lockStructure="1"/>
  <bookViews>
    <workbookView xWindow="-120" yWindow="-120" windowWidth="25440" windowHeight="15390" tabRatio="750"/>
  </bookViews>
  <sheets>
    <sheet name="dati" sheetId="1" r:id="rId1"/>
    <sheet name="misura1" sheetId="9" state="hidden" r:id="rId2"/>
    <sheet name="misura2" sheetId="5" state="hidden" r:id="rId3"/>
    <sheet name="misura3" sheetId="4" state="hidden" r:id="rId4"/>
    <sheet name="misura4" sheetId="8" state="hidden" r:id="rId5"/>
    <sheet name="misura5" sheetId="12" state="hidden" r:id="rId6"/>
    <sheet name="Misura6" sheetId="6" state="hidden" r:id="rId7"/>
    <sheet name="Misura7" sheetId="11" state="hidden" r:id="rId8"/>
    <sheet name="misura8" sheetId="2" state="hidden" r:id="rId9"/>
    <sheet name="dropdownmenus" sheetId="13" state="hidden" r:id="rId10"/>
  </sheets>
  <definedNames>
    <definedName name="_Hlk31123885" localSheetId="0">dati!$E$121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" l="1"/>
  <c r="T30" i="9" l="1"/>
  <c r="T29" i="9"/>
  <c r="T28" i="9"/>
  <c r="T24" i="9"/>
  <c r="T27" i="9" l="1"/>
  <c r="S16" i="9" s="1"/>
  <c r="C94" i="1"/>
  <c r="F171" i="1" l="1"/>
  <c r="C171" i="1"/>
  <c r="C169" i="1"/>
  <c r="F169" i="1"/>
  <c r="C37" i="2"/>
  <c r="C46" i="2" l="1"/>
  <c r="C12" i="2"/>
  <c r="N15" i="2" s="1"/>
  <c r="I23" i="2" s="1"/>
  <c r="C45" i="2" l="1"/>
  <c r="C130" i="1" l="1"/>
  <c r="F131" i="1" s="1"/>
  <c r="Q4" i="5"/>
  <c r="C27" i="2"/>
  <c r="C11" i="2"/>
  <c r="N9" i="2" s="1"/>
  <c r="C5" i="2"/>
  <c r="D18" i="2" s="1"/>
  <c r="Q17" i="6" l="1"/>
  <c r="P21" i="8"/>
  <c r="Q14" i="4"/>
  <c r="C44" i="2" l="1"/>
  <c r="G44" i="2" s="1"/>
  <c r="C43" i="2"/>
  <c r="H48" i="2" s="1"/>
  <c r="B48" i="2" s="1"/>
  <c r="C41" i="2"/>
  <c r="C30" i="2"/>
  <c r="F30" i="2" s="1"/>
  <c r="C29" i="2"/>
  <c r="I30" i="2" s="1"/>
  <c r="B32" i="2" s="1"/>
  <c r="C14" i="2"/>
  <c r="C50" i="2" l="1"/>
  <c r="C144" i="1" s="1"/>
  <c r="C10" i="2"/>
  <c r="C18" i="2" s="1"/>
  <c r="C8" i="2"/>
  <c r="C9" i="2" s="1"/>
  <c r="B120" i="1" s="1"/>
  <c r="B47" i="2" l="1"/>
  <c r="C19" i="2"/>
  <c r="D19" i="2"/>
  <c r="J30" i="2"/>
  <c r="C17" i="2" l="1"/>
  <c r="B22" i="2" l="1"/>
  <c r="I22" i="2"/>
  <c r="J22" i="2" s="1"/>
  <c r="J23" i="2"/>
  <c r="B23" i="2"/>
  <c r="C57" i="2" l="1"/>
  <c r="J6" i="12"/>
  <c r="E6" i="12"/>
  <c r="C82" i="1" s="1"/>
  <c r="Q7" i="11" l="1"/>
  <c r="Q8" i="6"/>
  <c r="C8" i="1" l="1"/>
  <c r="M5" i="9" l="1"/>
  <c r="M4" i="9"/>
  <c r="D47" i="2"/>
  <c r="Q4" i="11"/>
  <c r="D17" i="11" s="1"/>
  <c r="Q4" i="6"/>
  <c r="D17" i="6" s="1"/>
  <c r="D19" i="6" s="1"/>
  <c r="D32" i="2"/>
  <c r="D22" i="2"/>
  <c r="C41" i="1"/>
  <c r="C42" i="1"/>
  <c r="F42" i="1" s="1"/>
  <c r="P6" i="8"/>
  <c r="F41" i="1" l="1"/>
  <c r="D12" i="12"/>
  <c r="B52" i="2"/>
  <c r="F145" i="1" s="1"/>
  <c r="F157" i="1"/>
  <c r="C157" i="1"/>
  <c r="C47" i="1"/>
  <c r="C84" i="1"/>
  <c r="F84" i="1" s="1"/>
  <c r="C44" i="1"/>
  <c r="D10" i="9"/>
  <c r="F44" i="1" s="1"/>
  <c r="Q3" i="11"/>
  <c r="B105" i="1" s="1"/>
  <c r="Q2" i="4"/>
  <c r="D14" i="4" s="1"/>
  <c r="F64" i="1" s="1"/>
  <c r="Q3" i="5"/>
  <c r="Q2" i="5"/>
  <c r="K21" i="5" l="1"/>
  <c r="C57" i="1" s="1"/>
  <c r="D16" i="5"/>
  <c r="D18" i="5" s="1"/>
  <c r="B52" i="1"/>
  <c r="F47" i="1"/>
  <c r="D23" i="2"/>
  <c r="D34" i="2" s="1"/>
  <c r="C131" i="1" s="1"/>
  <c r="B34" i="2"/>
  <c r="D48" i="2"/>
  <c r="D52" i="2" s="1"/>
  <c r="C145" i="1" s="1"/>
  <c r="C58" i="1" l="1"/>
  <c r="F58" i="1"/>
  <c r="Q2" i="11"/>
  <c r="K23" i="11" s="1"/>
  <c r="C108" i="1" l="1"/>
  <c r="F109" i="1" s="1"/>
  <c r="P4" i="8"/>
  <c r="P10" i="8" l="1"/>
  <c r="D14" i="8"/>
  <c r="P8" i="8"/>
  <c r="B72" i="1" s="1"/>
  <c r="D19" i="11"/>
  <c r="C109" i="1" s="1"/>
  <c r="K24" i="8" l="1"/>
  <c r="C75" i="1" s="1"/>
  <c r="C73" i="1"/>
  <c r="D12" i="9"/>
  <c r="D16" i="8"/>
  <c r="C76" i="1" l="1"/>
  <c r="F76" i="1"/>
  <c r="Q3" i="6"/>
  <c r="B95" i="1" l="1"/>
  <c r="Q2" i="6"/>
  <c r="K22" i="6" s="1"/>
  <c r="C98" i="1" l="1"/>
  <c r="D16" i="4"/>
  <c r="F99" i="1" l="1"/>
  <c r="F155" i="1" s="1"/>
  <c r="F161" i="1" s="1"/>
  <c r="F163" i="1" s="1"/>
  <c r="C99" i="1"/>
  <c r="C155" i="1" s="1"/>
  <c r="C159" i="1" s="1"/>
  <c r="C165" i="1" l="1"/>
  <c r="C161" i="1"/>
  <c r="C163" i="1" s="1"/>
</calcChain>
</file>

<file path=xl/sharedStrings.xml><?xml version="1.0" encoding="utf-8"?>
<sst xmlns="http://schemas.openxmlformats.org/spreadsheetml/2006/main" count="426" uniqueCount="220">
  <si>
    <t xml:space="preserve">INDICATORE </t>
  </si>
  <si>
    <t>Emissioni evitate</t>
  </si>
  <si>
    <t>Fattore di emissione</t>
  </si>
  <si>
    <t>Effetto isola di calore: superifici esterne</t>
  </si>
  <si>
    <t xml:space="preserve">area pavimentata ombreggiata da alberi </t>
  </si>
  <si>
    <t>S</t>
  </si>
  <si>
    <t>E</t>
  </si>
  <si>
    <t>A</t>
  </si>
  <si>
    <t>T</t>
  </si>
  <si>
    <t>O</t>
  </si>
  <si>
    <t>Effetto isola di calore: coperture</t>
  </si>
  <si>
    <t>kg/anno</t>
  </si>
  <si>
    <t>n.</t>
  </si>
  <si>
    <t>m2</t>
  </si>
  <si>
    <t>area verde  totale del sito</t>
  </si>
  <si>
    <t>kg CO2/m2 anno</t>
  </si>
  <si>
    <t>kg/m2 anno</t>
  </si>
  <si>
    <t>kg/ anno</t>
  </si>
  <si>
    <t>area minima schermata</t>
  </si>
  <si>
    <t>area totale schermata</t>
  </si>
  <si>
    <t>m3/anno</t>
  </si>
  <si>
    <t>m3</t>
  </si>
  <si>
    <t>kg/kWh</t>
  </si>
  <si>
    <t>kg CO2/ anno</t>
  </si>
  <si>
    <t>kWh</t>
  </si>
  <si>
    <t xml:space="preserve">Emissioni </t>
  </si>
  <si>
    <t>area esterna ombreggiata da impianti solari</t>
  </si>
  <si>
    <t>fabbisogno specifico di energia termica dell'involucro per raffrescamento</t>
  </si>
  <si>
    <t>kWh/m2</t>
  </si>
  <si>
    <t>L'azione presenta i requisiti minimi per poter essere considerata nel computo delle emissioni evitate?</t>
  </si>
  <si>
    <t>superficie minima di riferimento per area verde totale del sito</t>
  </si>
  <si>
    <t>area verde minima di riferimento</t>
  </si>
  <si>
    <t>area del sito che rispetta i requisiti di riflettanza e ombreggiamento</t>
  </si>
  <si>
    <t>diminuzione dei consumi per raffrescamento</t>
  </si>
  <si>
    <t>valore di riferimento - minimo sup di copertura che rispetta i requisiti</t>
  </si>
  <si>
    <t>area che rispetta il requisito - valore di progetto</t>
  </si>
  <si>
    <t>Kwh</t>
  </si>
  <si>
    <t>Risparmio idrico - valore minimo di riferimento</t>
  </si>
  <si>
    <t>Consumo di acqua stimato sulla base di elenco apparecchiature e accessori standard di cui alla tabella 1 per residenziale e tabella 2 per non residenziale</t>
  </si>
  <si>
    <t>Consumo di acqua stimato sulla base di elenco apparecchiature e accessori di progetto</t>
  </si>
  <si>
    <t>Risparmio idrico - valore di progetto</t>
  </si>
  <si>
    <t>SINTESI</t>
  </si>
  <si>
    <t>nuova costruzione o ristrutturazione urbanistica o ristrutturazione edilizia con demolizione e ricostruzione</t>
  </si>
  <si>
    <t>di cui residenziale</t>
  </si>
  <si>
    <t>di cui  altre destinazioni d'uso</t>
  </si>
  <si>
    <t>fabbisogno specifico di energia termica per raffrescamento</t>
  </si>
  <si>
    <t>Dotazione di aree a verde</t>
  </si>
  <si>
    <t>Recupero delle acque meteoriche</t>
  </si>
  <si>
    <t>Area minima di riferimento</t>
  </si>
  <si>
    <t>Dotazione di dispositivi per il risparmio idrico</t>
  </si>
  <si>
    <t>Apparecchiature per edifici residenziali</t>
  </si>
  <si>
    <t>Valori di riferimento</t>
  </si>
  <si>
    <t>WC residenziali</t>
  </si>
  <si>
    <t>6 litri per flusso</t>
  </si>
  <si>
    <t>Rubinetti di lavabi residenziali</t>
  </si>
  <si>
    <t>8,5 l/minuto</t>
  </si>
  <si>
    <t>Lavelli cucina</t>
  </si>
  <si>
    <t>Doccia residenziale</t>
  </si>
  <si>
    <t>9,5 l/minuto</t>
  </si>
  <si>
    <t>Tabella 2</t>
  </si>
  <si>
    <t>WC commerciali</t>
  </si>
  <si>
    <t>Rubinetti di lavabi commerciali</t>
  </si>
  <si>
    <t>8,5 l/minuto per hotel e ospedali</t>
  </si>
  <si>
    <t>2  l/minuto per le altre destinazioni</t>
  </si>
  <si>
    <t>Apparecchiature per edifici non residenziali</t>
  </si>
  <si>
    <t>Ricorso a materiali da costruzione con contenuto di recupero o riciclato</t>
  </si>
  <si>
    <t xml:space="preserve">n.anni per compensazione </t>
  </si>
  <si>
    <t>superficie utile</t>
  </si>
  <si>
    <t>volume annuo di acqua meteorica recuperata</t>
  </si>
  <si>
    <t>gas naturale</t>
  </si>
  <si>
    <t>GPL</t>
  </si>
  <si>
    <t>Gasolio</t>
  </si>
  <si>
    <t>Energia Elettrica</t>
  </si>
  <si>
    <t>kgCO2eq/kwh</t>
  </si>
  <si>
    <t>Consumi energetici per vettore</t>
  </si>
  <si>
    <t>Edificio di progetto</t>
  </si>
  <si>
    <t>Teleriscaldamento</t>
  </si>
  <si>
    <t>Emissioni di CO2 edificio di progetto</t>
  </si>
  <si>
    <t>Emissioni di CO2 edificio di riferimento</t>
  </si>
  <si>
    <t>Fattore di emissione superficie a verde</t>
  </si>
  <si>
    <t>Fattore di emissione medio albero</t>
  </si>
  <si>
    <t>Kg/albero anno</t>
  </si>
  <si>
    <t>n.alberi piantumati</t>
  </si>
  <si>
    <t>consumo specifico approvvigionamento idropotabile</t>
  </si>
  <si>
    <t>consumo specifico fognatura e depurazione</t>
  </si>
  <si>
    <t>si</t>
  </si>
  <si>
    <t>no</t>
  </si>
  <si>
    <t>riduzione</t>
  </si>
  <si>
    <t>Teleraffrescamento</t>
  </si>
  <si>
    <t>Biomasse</t>
  </si>
  <si>
    <t>Energia Elettrica da  rete</t>
  </si>
  <si>
    <t>Il progetto rispetta quanto previsto dal DM 11 ottobre 2017 , allegato 2, par. 2.4.1.2 ‘Materia recuperata o riciclata’?</t>
  </si>
  <si>
    <t>l'intervento rispetta i CAM, Criteri Ambientali Minimi, per la parte riferita a materiali con contenuto riciclato o di recupero? ( DM 11 ottobre 2017 , allegato 2, par. 2.4.1.2 ‘Materia recuperata o riciclata’)</t>
  </si>
  <si>
    <t>area totale aree pavimentate</t>
  </si>
  <si>
    <t xml:space="preserve">Consumo di acqua stimato sulla base di elenco apparecchiature e accessori standard </t>
  </si>
  <si>
    <t>riduzione delle emissioni conseguita</t>
  </si>
  <si>
    <t>DATI GENERALI</t>
  </si>
  <si>
    <t>MISURE PER LA MINIMIZZAZIONE DELLE EMISSIONI</t>
  </si>
  <si>
    <t xml:space="preserve">1. Soluzioni a elevate prestazioni energetiche </t>
  </si>
  <si>
    <t>3. Recupero delle acque meteoriche</t>
  </si>
  <si>
    <t>4. Dotazione di dispositivi per il risparmio idrico</t>
  </si>
  <si>
    <t>5.Ricorso a materiali da costruzione con contenuto di recupero o riciclato</t>
  </si>
  <si>
    <t>6.Realizzazione di superfici esterne che riducono l’effetto ‘isola di calore’</t>
  </si>
  <si>
    <t>campi da inserire</t>
  </si>
  <si>
    <t>campo/valore calcolato</t>
  </si>
  <si>
    <t>Tipo di intervento</t>
  </si>
  <si>
    <t>n. punti di ricarica installati</t>
  </si>
  <si>
    <t>kWh/anno</t>
  </si>
  <si>
    <t>n. posti-auto di progetto</t>
  </si>
  <si>
    <t>restauro o risanamento conservativo o ristrutturazione edilizia</t>
  </si>
  <si>
    <t>RESTAURO O RISANAMENTO CONSERVATIVO O RISTRUTTURAZIONE EDILIZIA</t>
  </si>
  <si>
    <t>NUOVA COSTRUZIONE O RISTRUTTURAZIONE URBANISTICA O RISTRUTTURAZIONE EDILIZIA CON DEMOLIZIONE E RICOSTRUZIONE</t>
  </si>
  <si>
    <t>L'intervento rispetta i requisiti di cui all'Art.10 del Piano delle Regole del PGT?</t>
  </si>
  <si>
    <t>volume costruito (m3)</t>
  </si>
  <si>
    <r>
      <t>I</t>
    </r>
    <r>
      <rPr>
        <sz val="11"/>
        <color rgb="FF231F20"/>
        <rFont val="Calibri"/>
        <family val="2"/>
      </rPr>
      <t>l progetto prevede  aree di sosta private aggiuntive per veicoli motorizzati?</t>
    </r>
  </si>
  <si>
    <t>Posti auto esistenti</t>
  </si>
  <si>
    <r>
      <rPr>
        <sz val="11"/>
        <color rgb="FF231F20"/>
        <rFont val="Calibri"/>
        <family val="2"/>
        <scheme val="minor"/>
      </rPr>
      <t xml:space="preserve"> n. nuovi punti di ricarica installati</t>
    </r>
  </si>
  <si>
    <t>Superficie di parcheggi destinata alle biciclette</t>
  </si>
  <si>
    <t>Restauro o risanamento conservativo o ristrutturazione edilizia</t>
  </si>
  <si>
    <t>Il progetto prevede  aree di sosta private aggiuntive per veicoli motorizzati?</t>
  </si>
  <si>
    <t xml:space="preserve"> Superficie aggiuntiva destinata alle biciclette (m2)</t>
  </si>
  <si>
    <t xml:space="preserve"> Superficie di totale di parcheggi privati (m2)</t>
  </si>
  <si>
    <t>Superficie di parcheggi destinata alle biciclette (m2)</t>
  </si>
  <si>
    <t>Nuove costruzioni e demolizioni e ricostruzioni</t>
  </si>
  <si>
    <t>Emissioni evitate bici</t>
  </si>
  <si>
    <t>g/km-veicolo</t>
  </si>
  <si>
    <t>occupazione media veicolo</t>
  </si>
  <si>
    <t>persone/veicolo</t>
  </si>
  <si>
    <t>sup media posto bici</t>
  </si>
  <si>
    <t>percorrenza media sostituita</t>
  </si>
  <si>
    <t>km</t>
  </si>
  <si>
    <t>n. giorni utilizzo anno (bici)</t>
  </si>
  <si>
    <t>n. spostamenti/giorno</t>
  </si>
  <si>
    <t>soglia accesso bici</t>
  </si>
  <si>
    <t>spostamento da auto a bici</t>
  </si>
  <si>
    <t>KgCO2eq/anno</t>
  </si>
  <si>
    <t>KgCO2eq/m2*anno</t>
  </si>
  <si>
    <t>Emissioni evitate punti di ricarica</t>
  </si>
  <si>
    <t>soglia punti di ricarica</t>
  </si>
  <si>
    <t>detrazione punti di ricarica</t>
  </si>
  <si>
    <t xml:space="preserve"> </t>
  </si>
  <si>
    <t>Totale emissioni evitate per nuove costruzioni</t>
  </si>
  <si>
    <t>Il progetto prevede spazi privati di sosta destinati a veicoli motorizzati (ivi inclusi i veicoli elettrici)?</t>
  </si>
  <si>
    <t>emissioni evitate bici</t>
  </si>
  <si>
    <t>emissioni evitate ricarica elettrica</t>
  </si>
  <si>
    <t>requisito bici</t>
  </si>
  <si>
    <t>requisito punti ricarica</t>
  </si>
  <si>
    <t>Per le nuove edificazioni l'indicatore viene considerato?</t>
  </si>
  <si>
    <t>requisito base</t>
  </si>
  <si>
    <t>Per gli edifici esistenti l'indicatore viene considerato?</t>
  </si>
  <si>
    <t>L'INDICATORE 8 RIENTRA NEL COMPUTO?</t>
  </si>
  <si>
    <t>kg CO2eq/m2 anno</t>
  </si>
  <si>
    <t xml:space="preserve">KgCO2eq/anno </t>
  </si>
  <si>
    <t>kg CO2eq/ anno</t>
  </si>
  <si>
    <t>ton CO2eq</t>
  </si>
  <si>
    <t>la misura viene considerata nel computo delle emissioni?</t>
  </si>
  <si>
    <t>ton CO2eq/m2</t>
  </si>
  <si>
    <t>n.posti bici</t>
  </si>
  <si>
    <t>numero sogliapunti di ricarica</t>
  </si>
  <si>
    <t>posti bici</t>
  </si>
  <si>
    <t>MISURA 1</t>
  </si>
  <si>
    <t xml:space="preserve"> Soluzioni a elevate prestazioni energetiche </t>
  </si>
  <si>
    <t>Misura</t>
  </si>
  <si>
    <t>MISURA</t>
  </si>
  <si>
    <t>Misura n.8</t>
  </si>
  <si>
    <t>kwh/m2</t>
  </si>
  <si>
    <t>Kwh/m2</t>
  </si>
  <si>
    <t>Emissioni evitate/m2</t>
  </si>
  <si>
    <t>Kwh/m3</t>
  </si>
  <si>
    <t>kWh/m3</t>
  </si>
  <si>
    <t>Area totale di parcheggi privati &gt;=500 m2</t>
  </si>
  <si>
    <t>Area totale di parcheggi privati &lt;500 m2</t>
  </si>
  <si>
    <t>minimo per poter includere la misura nel computo</t>
  </si>
  <si>
    <t>riduzione delle emissioni rispetto all'edificio di riferimento</t>
  </si>
  <si>
    <t>Emissioni di CO2eq edificio di progetto</t>
  </si>
  <si>
    <t>area esterna ombreggiata da strutture architettoniche con SRI &gt;=30</t>
  </si>
  <si>
    <t>area con elementi grigliati permeabile per almeno il 50%</t>
  </si>
  <si>
    <t>COP rif</t>
  </si>
  <si>
    <t>valore minimo di riferimento</t>
  </si>
  <si>
    <t>COP di riferimento</t>
  </si>
  <si>
    <t>superficie totale del sito</t>
  </si>
  <si>
    <t>Interventi soggetti all'obbligo di dotazione di spazi privati (cioè che  non rientrano nel comma 3 dell’Art.31 delle Norme di Attuazione del Piano delle Regole (interventi per i quali non è richiesta alcuna dotazione di parcheggi privati)</t>
  </si>
  <si>
    <t>n.posti bici in nuova nuova costruz</t>
  </si>
  <si>
    <t>interventi per i quali non è richiesta alcuna dotazione di parcheggi privati (rientranti nel comma 3 dell’Art.31 delle Norme di Attuazione del Piano delle Regole)</t>
  </si>
  <si>
    <t>Totale emissioni evitate per costruzioni esistenti</t>
  </si>
  <si>
    <t>L'intervento da diritto agli incentivi previsti dall'Art.10 delle Norme di Attuazione del Piano delle Regole?</t>
  </si>
  <si>
    <t xml:space="preserve">Emissioni di CO2 edificio di riferimento </t>
  </si>
  <si>
    <t xml:space="preserve">Parte da compilare solo per interventi di nuova costruzione o ristrutturazione urbanistica o ristrutturazione edilizia con demolizione e ricostruzione </t>
  </si>
  <si>
    <t>8.a)L'intervento è soggetto all'obbligo di una dotazione minima di parcheggi privati?
(sono esclusi dall'obbligo di dotazione minima esclusivamente gli interventi di ristrutturazione edilizia e nuova costruzione volti alla realizzazione di nuove funzioni urbane commerciali  rientranti nel comma 3 dell'Art.31 delle Norme di Attuazione del Piano delle Regole)</t>
  </si>
  <si>
    <t>Parte da compilare solo se si è risposto "sì" alla domanda 8.a) , cioè se trattasi di intervento soggetto all'obbligo di dotazione minima di parcheggi</t>
  </si>
  <si>
    <t>Parte da compilare solo se si è risposto "no"alla domanda 8.a) , cioè se trattasi di intervento non  soggetto all'obbligo di dotazione minima di parcheggi (cioè rientrante nel comma 3 dell’Art.31 delle Norme di Attuazione del Piano delle Regole)</t>
  </si>
  <si>
    <r>
      <t xml:space="preserve">Riduzione delle emissioni  conseguita (somma esiti misure da 1 a 8) - Totale </t>
    </r>
    <r>
      <rPr>
        <sz val="11"/>
        <color theme="1"/>
        <rFont val="Calibri"/>
        <family val="2"/>
        <scheme val="minor"/>
      </rPr>
      <t>(valore annuo)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</si>
  <si>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Obiettivo di riduzione (15% rispetto alle emissioni dell'edificio di riferimento)  </t>
    </r>
    <r>
      <rPr>
        <sz val="11"/>
        <color theme="1"/>
        <rFont val="Calibri"/>
        <family val="2"/>
        <scheme val="minor"/>
      </rPr>
      <t>(valore annuo)</t>
    </r>
  </si>
  <si>
    <t xml:space="preserve">Emissioni annue residue </t>
  </si>
  <si>
    <t>Emissioni complessive da monetizzare (totale )</t>
  </si>
  <si>
    <r>
      <t>Emissioni specifiche di 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 xml:space="preserve"> edificio di progetto </t>
    </r>
  </si>
  <si>
    <t>Parte da compilare solo per interventi di restauro o risanamento conservativo o ristrutturazione edilizia</t>
  </si>
  <si>
    <t>La misura viene considerata nel computo delle emissioni?</t>
  </si>
  <si>
    <t>Emissioni residue (valore annuo)</t>
  </si>
  <si>
    <t xml:space="preserve">8.Dotazione di spazi idonei per il parcheggio di biciclette e installazione di punti ricarica per veicoli elettrici </t>
  </si>
  <si>
    <t xml:space="preserve">dotazione minima di parcheggi privati </t>
  </si>
  <si>
    <t>dotazione minima di parcheggi privati</t>
  </si>
  <si>
    <t>n. punti di ricarica eventualmente già presenti (prima dell'esecuzione dell'intervento)</t>
  </si>
  <si>
    <t>n. punti di ricarica presenti in precedenza</t>
  </si>
  <si>
    <t>Il progetto prevede spazi privati di sosta destinati a veicoli motorizzati (ivi inclusi i veicoli elettrici?</t>
  </si>
  <si>
    <t xml:space="preserve"> Documento tecnico per l’attuazione della disciplina di cui all’Art. 10 “Sostenibilità ambientale e resilienza urbana” delle norme d’attuazione del Piano delle regole, contenente la metodologia di calcolo per la minimizzazione delle emissioni di carbonio e per il raggiungimento dell’Indice di riduzione di impatto climatico – RIC</t>
  </si>
  <si>
    <t>2.Dotazione di superfici e coperture verdi</t>
  </si>
  <si>
    <t>7.Realizzazione di coperture che riducono l’effetto ‘isola di calore’</t>
  </si>
  <si>
    <r>
      <t xml:space="preserve">Edificio di riferimento </t>
    </r>
    <r>
      <rPr>
        <sz val="11"/>
        <color theme="1"/>
        <rFont val="Calibri"/>
        <family val="2"/>
        <scheme val="minor"/>
      </rPr>
      <t>(da completare solo in caso di interventi su edificio esistente)</t>
    </r>
  </si>
  <si>
    <t>aree pavimentate con SRI &gt;=30</t>
  </si>
  <si>
    <t>Qualora l'edificio sia allacciao al teleriscaldamento, selezionare il sistema cui è allacciato</t>
  </si>
  <si>
    <t>Sistema Milano Est</t>
  </si>
  <si>
    <t>Sistema Milano Nord</t>
  </si>
  <si>
    <t>Sistema Milano Ovest</t>
  </si>
  <si>
    <t>Fattore di emissione TLR da utilizzare</t>
  </si>
  <si>
    <t>Emissioni complessive da monetizzare  (totale )</t>
  </si>
  <si>
    <t>superficie di copertura che rispetta il requisiti relativi a riflettanza e superficie a verde - valore di progetto</t>
  </si>
  <si>
    <t>superficie totale di copertura al netto delle parti utilizzate per installare attrezzature, volumi tecnici, pannelli fotovoltaici, collettori solari;</t>
  </si>
  <si>
    <t>Allegato A 
Foglio di calcolo per la minimizzazione delle emissioni climalteranti
Aggiornamento del 27/07/2020</t>
  </si>
  <si>
    <t>superficie totale a verde esistente e di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</si>
</sst>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rgb="FF231F20"/>
      <name val="Calibri"/>
      <family val="2"/>
    </font>
    <font>
      <u/>
      <sz val="11"/>
      <name val="Calibri"/>
      <family val="2"/>
      <scheme val="minor"/>
    </font>
    <font>
      <sz val="10"/>
      <color rgb="FF231F20"/>
      <name val="Calibri"/>
      <family val="2"/>
      <scheme val="minor"/>
    </font>
    <font>
      <sz val="11"/>
      <color rgb="FF231F20"/>
      <name val="Calibri"/>
      <family val="2"/>
      <scheme val="minor"/>
    </font>
    <font>
      <sz val="11"/>
      <color rgb="FF231F20"/>
      <name val="Calibri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top" wrapText="1"/>
    </xf>
    <xf numFmtId="165" fontId="0" fillId="3" borderId="0" xfId="0" applyNumberFormat="1" applyFill="1"/>
    <xf numFmtId="0" fontId="1" fillId="0" borderId="0" xfId="0" applyFont="1"/>
    <xf numFmtId="4" fontId="0" fillId="0" borderId="0" xfId="0" applyNumberFormat="1" applyFill="1"/>
    <xf numFmtId="164" fontId="0" fillId="0" borderId="0" xfId="0" applyNumberFormat="1" applyFill="1"/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2" fontId="0" fillId="0" borderId="0" xfId="0" applyNumberFormat="1"/>
    <xf numFmtId="0" fontId="0" fillId="5" borderId="0" xfId="0" applyFill="1"/>
    <xf numFmtId="2" fontId="0" fillId="5" borderId="0" xfId="0" applyNumberFormat="1" applyFill="1"/>
    <xf numFmtId="2" fontId="0" fillId="0" borderId="0" xfId="0" applyNumberFormat="1" applyFill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justify" vertical="center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2" fontId="0" fillId="0" borderId="0" xfId="0" applyNumberFormat="1" applyFill="1" applyBorder="1"/>
    <xf numFmtId="9" fontId="0" fillId="0" borderId="0" xfId="0" applyNumberFormat="1"/>
    <xf numFmtId="0" fontId="0" fillId="0" borderId="0" xfId="0" applyFill="1" applyAlignment="1">
      <alignment vertical="top" wrapText="1"/>
    </xf>
    <xf numFmtId="0" fontId="0" fillId="5" borderId="0" xfId="0" applyFill="1" applyAlignment="1">
      <alignment wrapText="1"/>
    </xf>
    <xf numFmtId="0" fontId="4" fillId="5" borderId="0" xfId="0" applyFont="1" applyFill="1" applyAlignment="1">
      <alignment vertical="top" wrapText="1"/>
    </xf>
    <xf numFmtId="0" fontId="0" fillId="6" borderId="0" xfId="0" applyFill="1"/>
    <xf numFmtId="2" fontId="0" fillId="6" borderId="0" xfId="0" applyNumberFormat="1" applyFill="1"/>
    <xf numFmtId="0" fontId="11" fillId="0" borderId="0" xfId="0" applyFont="1"/>
    <xf numFmtId="0" fontId="1" fillId="0" borderId="0" xfId="0" applyFont="1" applyAlignment="1">
      <alignment wrapText="1"/>
    </xf>
    <xf numFmtId="0" fontId="0" fillId="0" borderId="8" xfId="0" applyBorder="1"/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14" fillId="0" borderId="0" xfId="0" applyFont="1" applyAlignment="1">
      <alignment horizontal="justify" vertical="center"/>
    </xf>
    <xf numFmtId="0" fontId="16" fillId="0" borderId="0" xfId="0" applyFont="1"/>
    <xf numFmtId="0" fontId="18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/>
    <xf numFmtId="0" fontId="10" fillId="0" borderId="0" xfId="0" applyFont="1" applyFill="1" applyAlignment="1">
      <alignment vertical="top" wrapText="1"/>
    </xf>
    <xf numFmtId="0" fontId="17" fillId="0" borderId="0" xfId="0" applyFont="1"/>
    <xf numFmtId="9" fontId="0" fillId="0" borderId="0" xfId="0" applyNumberFormat="1" applyFill="1"/>
    <xf numFmtId="0" fontId="4" fillId="5" borderId="0" xfId="0" applyFont="1" applyFill="1" applyAlignment="1">
      <alignment wrapText="1"/>
    </xf>
    <xf numFmtId="0" fontId="5" fillId="0" borderId="0" xfId="0" applyFont="1" applyFill="1"/>
    <xf numFmtId="0" fontId="0" fillId="0" borderId="0" xfId="0" applyBorder="1"/>
    <xf numFmtId="0" fontId="2" fillId="6" borderId="0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2" fontId="0" fillId="0" borderId="0" xfId="0" applyNumberFormat="1" applyFill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6" borderId="0" xfId="0" applyFill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9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wrapText="1"/>
    </xf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2" fontId="0" fillId="0" borderId="0" xfId="0" applyNumberFormat="1" applyFont="1" applyFill="1" applyAlignment="1">
      <alignment wrapText="1"/>
    </xf>
    <xf numFmtId="0" fontId="12" fillId="7" borderId="10" xfId="0" applyFont="1" applyFill="1" applyBorder="1" applyAlignment="1">
      <alignment wrapText="1"/>
    </xf>
    <xf numFmtId="0" fontId="0" fillId="7" borderId="10" xfId="0" applyFill="1" applyBorder="1" applyAlignment="1">
      <alignment vertical="top" wrapText="1"/>
    </xf>
    <xf numFmtId="0" fontId="15" fillId="8" borderId="10" xfId="0" applyFont="1" applyFill="1" applyBorder="1" applyAlignment="1">
      <alignment vertical="top" wrapText="1"/>
    </xf>
    <xf numFmtId="0" fontId="1" fillId="8" borderId="10" xfId="0" applyFont="1" applyFill="1" applyBorder="1" applyAlignment="1">
      <alignment wrapText="1"/>
    </xf>
    <xf numFmtId="0" fontId="17" fillId="8" borderId="10" xfId="0" applyFont="1" applyFill="1" applyBorder="1" applyAlignment="1">
      <alignment wrapText="1"/>
    </xf>
    <xf numFmtId="0" fontId="1" fillId="7" borderId="10" xfId="0" applyFont="1" applyFill="1" applyBorder="1" applyAlignment="1">
      <alignment wrapText="1"/>
    </xf>
    <xf numFmtId="0" fontId="15" fillId="7" borderId="10" xfId="0" applyFont="1" applyFill="1" applyBorder="1" applyAlignment="1">
      <alignment wrapText="1"/>
    </xf>
    <xf numFmtId="0" fontId="18" fillId="7" borderId="10" xfId="0" applyFont="1" applyFill="1" applyBorder="1" applyAlignment="1">
      <alignment horizontal="justify" vertical="center" wrapText="1"/>
    </xf>
    <xf numFmtId="0" fontId="4" fillId="9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17" fillId="9" borderId="0" xfId="0" applyFont="1" applyFill="1" applyAlignment="1">
      <alignment wrapText="1"/>
    </xf>
    <xf numFmtId="0" fontId="0" fillId="9" borderId="0" xfId="0" applyFill="1" applyAlignment="1">
      <alignment wrapText="1"/>
    </xf>
    <xf numFmtId="0" fontId="0" fillId="9" borderId="0" xfId="0" applyFill="1" applyAlignment="1">
      <alignment vertical="top" wrapText="1"/>
    </xf>
    <xf numFmtId="0" fontId="4" fillId="8" borderId="9" xfId="0" applyFont="1" applyFill="1" applyBorder="1" applyAlignment="1">
      <alignment wrapText="1"/>
    </xf>
    <xf numFmtId="2" fontId="0" fillId="6" borderId="0" xfId="0" applyNumberFormat="1" applyFill="1" applyAlignment="1">
      <alignment wrapText="1"/>
    </xf>
    <xf numFmtId="0" fontId="18" fillId="6" borderId="11" xfId="0" applyFont="1" applyFill="1" applyBorder="1" applyAlignment="1">
      <alignment horizontal="justify" vertical="center" wrapText="1"/>
    </xf>
    <xf numFmtId="1" fontId="0" fillId="5" borderId="0" xfId="0" applyNumberFormat="1" applyFill="1"/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7</xdr:row>
      <xdr:rowOff>161925</xdr:rowOff>
    </xdr:from>
    <xdr:to>
      <xdr:col>13</xdr:col>
      <xdr:colOff>28575</xdr:colOff>
      <xdr:row>28</xdr:row>
      <xdr:rowOff>76201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9C86023-A9C5-4094-8B8A-6449E92A1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443" t="43802" r="35147" b="18138"/>
        <a:stretch/>
      </xdr:blipFill>
      <xdr:spPr>
        <a:xfrm>
          <a:off x="6810375" y="1514475"/>
          <a:ext cx="5743575" cy="3914776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30</xdr:row>
      <xdr:rowOff>0</xdr:rowOff>
    </xdr:from>
    <xdr:to>
      <xdr:col>13</xdr:col>
      <xdr:colOff>13336</xdr:colOff>
      <xdr:row>36</xdr:row>
      <xdr:rowOff>133350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70C3399-DED8-4781-9061-ED38BEC36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1" y="5734050"/>
          <a:ext cx="5871210" cy="127635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476250</xdr:colOff>
      <xdr:row>49</xdr:row>
      <xdr:rowOff>161925</xdr:rowOff>
    </xdr:from>
    <xdr:to>
      <xdr:col>12</xdr:col>
      <xdr:colOff>1504950</xdr:colOff>
      <xdr:row>56</xdr:row>
      <xdr:rowOff>107451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7342C7D-947F-492E-A37E-6E7164DB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4150" y="9515475"/>
          <a:ext cx="5810250" cy="1279026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40</xdr:row>
      <xdr:rowOff>19050</xdr:rowOff>
    </xdr:from>
    <xdr:to>
      <xdr:col>13</xdr:col>
      <xdr:colOff>57150</xdr:colOff>
      <xdr:row>46</xdr:row>
      <xdr:rowOff>152154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28966DB-8956-4BAD-BD60-194873DE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00850" y="7658100"/>
          <a:ext cx="5781675" cy="1276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tabSelected="1" topLeftCell="A70" zoomScale="70" zoomScaleNormal="70" workbookViewId="0">
      <selection activeCell="C68" sqref="C68"/>
    </sheetView>
  </sheetViews>
  <sheetFormatPr defaultRowHeight="15" x14ac:dyDescent="0.25"/>
  <cols>
    <col min="1" max="1" width="88.5703125" style="48" customWidth="1"/>
    <col min="2" max="2" width="27.140625" customWidth="1"/>
    <col min="3" max="3" width="21" customWidth="1"/>
    <col min="4" max="4" width="19.28515625" customWidth="1"/>
    <col min="5" max="5" width="17.140625" bestFit="1" customWidth="1"/>
    <col min="6" max="6" width="15" customWidth="1"/>
    <col min="7" max="7" width="17.42578125" customWidth="1"/>
    <col min="8" max="8" width="17" customWidth="1"/>
    <col min="9" max="9" width="24.28515625" bestFit="1" customWidth="1"/>
    <col min="10" max="10" width="18.140625" customWidth="1"/>
  </cols>
  <sheetData>
    <row r="1" spans="1:16" s="9" customFormat="1" ht="63" customHeight="1" x14ac:dyDescent="0.25">
      <c r="A1" s="93" t="s">
        <v>205</v>
      </c>
      <c r="B1" s="93"/>
    </row>
    <row r="2" spans="1:16" s="9" customFormat="1" ht="47.45" customHeight="1" x14ac:dyDescent="0.25">
      <c r="A2" s="93" t="s">
        <v>218</v>
      </c>
      <c r="B2" s="93"/>
    </row>
    <row r="3" spans="1:16" ht="14.45" customHeight="1" x14ac:dyDescent="0.25">
      <c r="B3" s="11"/>
      <c r="C3" s="11"/>
      <c r="D3" s="9"/>
    </row>
    <row r="4" spans="1:16" x14ac:dyDescent="0.25">
      <c r="A4" s="31" t="s">
        <v>96</v>
      </c>
    </row>
    <row r="5" spans="1:16" s="9" customFormat="1" x14ac:dyDescent="0.25">
      <c r="A5" s="31"/>
    </row>
    <row r="6" spans="1:16" s="9" customFormat="1" x14ac:dyDescent="0.25">
      <c r="A6" s="31" t="s">
        <v>105</v>
      </c>
      <c r="C6" s="90" t="s">
        <v>109</v>
      </c>
      <c r="D6" s="10"/>
      <c r="E6" s="10"/>
      <c r="F6" s="10"/>
      <c r="G6" s="10"/>
      <c r="H6" s="10"/>
    </row>
    <row r="7" spans="1:16" s="9" customFormat="1" x14ac:dyDescent="0.25">
      <c r="A7" s="31"/>
    </row>
    <row r="8" spans="1:16" x14ac:dyDescent="0.25">
      <c r="A8" s="48" t="s">
        <v>67</v>
      </c>
      <c r="C8" s="38">
        <f>C9+C10</f>
        <v>0</v>
      </c>
      <c r="D8" t="s">
        <v>13</v>
      </c>
      <c r="E8" s="10"/>
      <c r="F8" t="s">
        <v>103</v>
      </c>
    </row>
    <row r="9" spans="1:16" x14ac:dyDescent="0.25">
      <c r="A9" s="48" t="s">
        <v>43</v>
      </c>
      <c r="C9" s="90"/>
      <c r="D9" s="9" t="s">
        <v>13</v>
      </c>
      <c r="E9" s="12"/>
      <c r="F9" t="s">
        <v>172</v>
      </c>
      <c r="G9" s="9"/>
    </row>
    <row r="10" spans="1:16" s="9" customFormat="1" x14ac:dyDescent="0.25">
      <c r="A10" s="48" t="s">
        <v>44</v>
      </c>
      <c r="C10" s="90"/>
      <c r="D10" s="9" t="s">
        <v>13</v>
      </c>
      <c r="E10" s="38"/>
      <c r="F10" s="17" t="s">
        <v>104</v>
      </c>
      <c r="H10" s="11"/>
    </row>
    <row r="11" spans="1:16" s="9" customFormat="1" x14ac:dyDescent="0.25">
      <c r="A11" s="48"/>
      <c r="F11" s="11"/>
      <c r="G11" s="11"/>
      <c r="H11" s="11"/>
      <c r="O11" s="11"/>
      <c r="P11" s="11"/>
    </row>
    <row r="12" spans="1:16" x14ac:dyDescent="0.25">
      <c r="A12" s="58" t="s">
        <v>97</v>
      </c>
      <c r="H12" s="11"/>
      <c r="O12" s="11"/>
      <c r="P12" s="11"/>
    </row>
    <row r="13" spans="1:16" s="9" customFormat="1" x14ac:dyDescent="0.25">
      <c r="A13" s="58"/>
      <c r="H13" s="11"/>
      <c r="O13" s="11"/>
      <c r="P13" s="11"/>
    </row>
    <row r="14" spans="1:16" s="9" customFormat="1" x14ac:dyDescent="0.25">
      <c r="A14" s="59" t="s">
        <v>98</v>
      </c>
      <c r="H14" s="11"/>
      <c r="O14" s="11"/>
      <c r="P14" s="11"/>
    </row>
    <row r="15" spans="1:16" s="9" customFormat="1" x14ac:dyDescent="0.25">
      <c r="A15" s="58"/>
      <c r="H15" s="11"/>
      <c r="O15" s="11"/>
      <c r="P15" s="11"/>
    </row>
    <row r="16" spans="1:16" x14ac:dyDescent="0.25">
      <c r="A16" s="31" t="s">
        <v>75</v>
      </c>
      <c r="B16" s="16"/>
      <c r="C16" s="9"/>
      <c r="D16" s="9"/>
      <c r="H16" s="11"/>
    </row>
    <row r="17" spans="1:9" s="9" customFormat="1" x14ac:dyDescent="0.25">
      <c r="A17" s="32" t="s">
        <v>74</v>
      </c>
      <c r="B17" s="16"/>
      <c r="F17" s="11"/>
      <c r="G17" s="11"/>
      <c r="H17" s="11"/>
    </row>
    <row r="18" spans="1:9" s="9" customFormat="1" x14ac:dyDescent="0.25">
      <c r="A18" s="32"/>
      <c r="B18" s="16"/>
      <c r="F18" s="11"/>
      <c r="G18" s="11"/>
      <c r="H18" s="11"/>
    </row>
    <row r="19" spans="1:9" s="9" customFormat="1" x14ac:dyDescent="0.25">
      <c r="A19" s="92" t="s">
        <v>210</v>
      </c>
      <c r="B19" s="16"/>
      <c r="C19" s="90"/>
      <c r="F19" s="11"/>
      <c r="G19" s="11"/>
      <c r="H19" s="11"/>
    </row>
    <row r="20" spans="1:9" s="9" customFormat="1" x14ac:dyDescent="0.25">
      <c r="A20" s="32"/>
      <c r="B20" s="16"/>
      <c r="F20" s="11"/>
      <c r="G20" s="11"/>
      <c r="H20" s="11"/>
    </row>
    <row r="21" spans="1:9" s="9" customFormat="1" x14ac:dyDescent="0.25">
      <c r="A21" s="48" t="s">
        <v>69</v>
      </c>
      <c r="B21" s="16"/>
      <c r="C21" s="90"/>
      <c r="D21" s="9" t="s">
        <v>107</v>
      </c>
      <c r="F21" s="11"/>
      <c r="G21" s="11"/>
      <c r="H21" s="11"/>
    </row>
    <row r="22" spans="1:9" s="9" customFormat="1" x14ac:dyDescent="0.25">
      <c r="A22" s="48" t="s">
        <v>70</v>
      </c>
      <c r="B22" s="16"/>
      <c r="C22" s="90"/>
      <c r="D22" s="9" t="s">
        <v>107</v>
      </c>
      <c r="F22" s="11"/>
      <c r="G22" s="11"/>
      <c r="H22" s="11"/>
    </row>
    <row r="23" spans="1:9" s="9" customFormat="1" x14ac:dyDescent="0.25">
      <c r="A23" s="48" t="s">
        <v>71</v>
      </c>
      <c r="B23" s="16"/>
      <c r="C23" s="90"/>
      <c r="D23" s="9" t="s">
        <v>107</v>
      </c>
      <c r="F23" s="11"/>
      <c r="G23"/>
      <c r="H23"/>
      <c r="I23"/>
    </row>
    <row r="24" spans="1:9" s="9" customFormat="1" x14ac:dyDescent="0.25">
      <c r="A24" s="48" t="s">
        <v>90</v>
      </c>
      <c r="B24" s="16"/>
      <c r="C24" s="90"/>
      <c r="D24" s="9" t="s">
        <v>107</v>
      </c>
      <c r="F24" s="11"/>
      <c r="I24"/>
    </row>
    <row r="25" spans="1:9" s="9" customFormat="1" x14ac:dyDescent="0.25">
      <c r="A25" s="48" t="s">
        <v>76</v>
      </c>
      <c r="B25" s="16"/>
      <c r="C25" s="90"/>
      <c r="D25" s="9" t="s">
        <v>107</v>
      </c>
      <c r="F25" s="11"/>
      <c r="I25"/>
    </row>
    <row r="26" spans="1:9" s="9" customFormat="1" x14ac:dyDescent="0.25">
      <c r="A26" s="48" t="s">
        <v>88</v>
      </c>
      <c r="B26" s="16"/>
      <c r="C26" s="90"/>
      <c r="D26" s="9" t="s">
        <v>107</v>
      </c>
      <c r="F26" s="11"/>
      <c r="I26" s="11"/>
    </row>
    <row r="27" spans="1:9" s="9" customFormat="1" x14ac:dyDescent="0.25">
      <c r="A27" s="48" t="s">
        <v>89</v>
      </c>
      <c r="B27" s="16"/>
      <c r="C27" s="90"/>
      <c r="D27" s="9" t="s">
        <v>107</v>
      </c>
      <c r="F27" s="11"/>
      <c r="G27" s="11"/>
      <c r="H27" s="11"/>
    </row>
    <row r="28" spans="1:9" s="9" customFormat="1" x14ac:dyDescent="0.25">
      <c r="A28" s="4"/>
      <c r="B28" s="16"/>
      <c r="F28" s="11"/>
      <c r="G28" s="11"/>
      <c r="H28" s="11"/>
    </row>
    <row r="29" spans="1:9" s="9" customFormat="1" x14ac:dyDescent="0.25">
      <c r="A29" s="31" t="s">
        <v>208</v>
      </c>
      <c r="B29" s="16"/>
      <c r="C29" s="11"/>
      <c r="F29" s="11"/>
      <c r="G29" s="11"/>
      <c r="H29" s="11"/>
    </row>
    <row r="30" spans="1:9" s="9" customFormat="1" x14ac:dyDescent="0.25">
      <c r="A30" s="32" t="s">
        <v>74</v>
      </c>
      <c r="B30" s="16"/>
      <c r="F30" s="11"/>
      <c r="G30" s="11"/>
      <c r="H30" s="11"/>
    </row>
    <row r="31" spans="1:9" s="9" customFormat="1" x14ac:dyDescent="0.25">
      <c r="A31" s="48" t="s">
        <v>69</v>
      </c>
      <c r="B31" s="16"/>
      <c r="C31" s="90"/>
      <c r="D31" s="9" t="s">
        <v>107</v>
      </c>
      <c r="F31" s="11"/>
      <c r="G31" s="11"/>
      <c r="H31" s="11"/>
    </row>
    <row r="32" spans="1:9" s="9" customFormat="1" x14ac:dyDescent="0.25">
      <c r="A32" s="48" t="s">
        <v>70</v>
      </c>
      <c r="B32" s="16"/>
      <c r="C32" s="90"/>
      <c r="D32" s="9" t="s">
        <v>107</v>
      </c>
      <c r="F32" s="11"/>
      <c r="G32" s="11"/>
      <c r="H32" s="11"/>
    </row>
    <row r="33" spans="1:8" s="9" customFormat="1" x14ac:dyDescent="0.25">
      <c r="A33" s="48" t="s">
        <v>71</v>
      </c>
      <c r="B33" s="16"/>
      <c r="C33" s="90"/>
      <c r="D33" s="9" t="s">
        <v>107</v>
      </c>
      <c r="F33" s="11"/>
      <c r="G33" s="11"/>
      <c r="H33" s="11"/>
    </row>
    <row r="34" spans="1:8" s="9" customFormat="1" x14ac:dyDescent="0.25">
      <c r="A34" s="48" t="s">
        <v>90</v>
      </c>
      <c r="B34" s="16"/>
      <c r="C34" s="90"/>
      <c r="D34" s="9" t="s">
        <v>107</v>
      </c>
      <c r="F34" s="11"/>
      <c r="G34" s="11"/>
      <c r="H34" s="11"/>
    </row>
    <row r="35" spans="1:8" s="9" customFormat="1" x14ac:dyDescent="0.25">
      <c r="A35" s="48" t="s">
        <v>76</v>
      </c>
      <c r="B35" s="16"/>
      <c r="C35" s="90"/>
      <c r="D35" s="9" t="s">
        <v>107</v>
      </c>
      <c r="F35" s="11"/>
      <c r="G35" s="11"/>
      <c r="H35" s="11"/>
    </row>
    <row r="36" spans="1:8" s="9" customFormat="1" x14ac:dyDescent="0.25">
      <c r="A36" s="48" t="s">
        <v>88</v>
      </c>
      <c r="B36" s="16"/>
      <c r="C36" s="90"/>
      <c r="D36" s="9" t="s">
        <v>107</v>
      </c>
      <c r="E36" s="11"/>
      <c r="F36" s="11"/>
      <c r="G36" s="11"/>
      <c r="H36" s="11"/>
    </row>
    <row r="37" spans="1:8" s="9" customFormat="1" x14ac:dyDescent="0.25">
      <c r="A37" s="48" t="s">
        <v>89</v>
      </c>
      <c r="B37" s="16"/>
      <c r="C37" s="90"/>
      <c r="D37" s="9" t="s">
        <v>107</v>
      </c>
      <c r="E37" s="11"/>
      <c r="F37" s="11"/>
      <c r="G37" s="11"/>
      <c r="H37" s="11"/>
    </row>
    <row r="38" spans="1:8" s="9" customFormat="1" x14ac:dyDescent="0.25">
      <c r="A38" s="48"/>
      <c r="B38" s="16"/>
      <c r="C38" s="11"/>
      <c r="E38" s="11"/>
      <c r="F38" s="11"/>
      <c r="G38" s="11"/>
      <c r="H38" s="11"/>
    </row>
    <row r="39" spans="1:8" s="9" customFormat="1" x14ac:dyDescent="0.25">
      <c r="A39" s="58" t="s">
        <v>109</v>
      </c>
      <c r="C39" s="11"/>
      <c r="D39" s="11"/>
      <c r="E39" s="11"/>
      <c r="F39" s="11"/>
      <c r="G39" s="11"/>
      <c r="H39" s="11"/>
    </row>
    <row r="40" spans="1:8" s="9" customFormat="1" x14ac:dyDescent="0.25">
      <c r="A40" s="58"/>
      <c r="C40" s="11"/>
      <c r="D40" s="11"/>
      <c r="E40" s="11"/>
      <c r="F40" s="11"/>
      <c r="G40" s="11"/>
      <c r="H40" s="11"/>
    </row>
    <row r="41" spans="1:8" s="9" customFormat="1" ht="18" x14ac:dyDescent="0.35">
      <c r="A41" s="72" t="s">
        <v>195</v>
      </c>
      <c r="C41" s="38" t="e">
        <f>IF(C6="restauro o risanamento conservativo o ristrutturazione edilizia",misura1!M5,"")</f>
        <v>#DIV/0!</v>
      </c>
      <c r="D41" s="11" t="s">
        <v>151</v>
      </c>
      <c r="E41" s="11"/>
      <c r="F41" s="38" t="e">
        <f>IF(C6="restauro o risanamento conservativo o ristrutturazione edilizia",C41*C8,"")</f>
        <v>#DIV/0!</v>
      </c>
      <c r="G41" s="11" t="s">
        <v>152</v>
      </c>
      <c r="H41" s="11"/>
    </row>
    <row r="42" spans="1:8" s="9" customFormat="1" x14ac:dyDescent="0.25">
      <c r="A42" s="60" t="s">
        <v>186</v>
      </c>
      <c r="C42" s="38" t="e">
        <f>IF(C6="restauro o risanamento conservativo o ristrutturazione edilizia",misura1!M4,"")</f>
        <v>#DIV/0!</v>
      </c>
      <c r="D42" s="11" t="s">
        <v>151</v>
      </c>
      <c r="E42" s="11"/>
      <c r="F42" s="38" t="e">
        <f>IF(C6="restauro o risanamento conservativo o ristrutturazione edilizia",C42*C8,"")</f>
        <v>#DIV/0!</v>
      </c>
      <c r="G42" s="11" t="s">
        <v>152</v>
      </c>
      <c r="H42" s="11"/>
    </row>
    <row r="43" spans="1:8" s="9" customFormat="1" x14ac:dyDescent="0.25">
      <c r="A43" s="58"/>
      <c r="C43" s="11"/>
      <c r="D43" s="11"/>
      <c r="E43" s="11"/>
      <c r="F43" s="11"/>
      <c r="G43" s="11"/>
      <c r="H43" s="11"/>
    </row>
    <row r="44" spans="1:8" s="9" customFormat="1" x14ac:dyDescent="0.25">
      <c r="A44" s="87" t="s">
        <v>173</v>
      </c>
      <c r="C44" s="38" t="e">
        <f>IF(C6="restauro o risanamento conservativo o ristrutturazione edilizia",misura1!M4-misura1!M5,0)</f>
        <v>#DIV/0!</v>
      </c>
      <c r="D44" s="11" t="s">
        <v>151</v>
      </c>
      <c r="E44" s="11"/>
      <c r="F44" s="38" t="e">
        <f>IF(C6="restauro o risanamento conservativo o ristrutturazione edilizia",misura1!D10,0)</f>
        <v>#DIV/0!</v>
      </c>
      <c r="G44" s="11" t="s">
        <v>152</v>
      </c>
      <c r="H44" s="11"/>
    </row>
    <row r="45" spans="1:8" s="9" customFormat="1" x14ac:dyDescent="0.25">
      <c r="A45" s="49"/>
      <c r="B45" s="11"/>
      <c r="C45" s="11"/>
      <c r="D45" s="11"/>
      <c r="E45" s="11"/>
      <c r="F45" s="11"/>
      <c r="G45" s="11"/>
      <c r="H45" s="11"/>
    </row>
    <row r="46" spans="1:8" s="9" customFormat="1" ht="30" x14ac:dyDescent="0.25">
      <c r="A46" s="58" t="s">
        <v>42</v>
      </c>
      <c r="B46" s="11"/>
      <c r="C46" s="11"/>
      <c r="D46" s="11"/>
      <c r="E46" s="11"/>
      <c r="F46" s="11"/>
      <c r="G46" s="11"/>
      <c r="H46" s="11"/>
    </row>
    <row r="47" spans="1:8" s="9" customFormat="1" x14ac:dyDescent="0.25">
      <c r="A47" s="4" t="s">
        <v>174</v>
      </c>
      <c r="B47" s="11"/>
      <c r="C47" s="38" t="str">
        <f>IF(C6="nuova costruzione o ristrutturazione urbanistica o ristrutturazione edilizia con demolizione e ricostruzione",misura1!M5,"")</f>
        <v/>
      </c>
      <c r="D47" s="11" t="s">
        <v>151</v>
      </c>
      <c r="E47" s="11"/>
      <c r="F47" s="38" t="str">
        <f>IF(C6="nuova costruzione o ristrutturazione urbanistica o ristrutturazione edilizia con demolizione e ricostruzione",C47*C8,"")</f>
        <v/>
      </c>
      <c r="G47" s="11" t="s">
        <v>152</v>
      </c>
      <c r="H47" s="11"/>
    </row>
    <row r="48" spans="1:8" s="9" customFormat="1" x14ac:dyDescent="0.25">
      <c r="A48" s="48"/>
      <c r="C48" s="11"/>
      <c r="D48" s="11"/>
      <c r="E48" s="11"/>
      <c r="F48" s="11"/>
      <c r="G48" s="11"/>
      <c r="H48" s="11"/>
    </row>
    <row r="49" spans="1:8" s="9" customFormat="1" x14ac:dyDescent="0.25">
      <c r="A49" s="61" t="s">
        <v>206</v>
      </c>
      <c r="B49" s="16"/>
      <c r="C49" s="11"/>
      <c r="D49" s="11"/>
      <c r="F49" s="11"/>
      <c r="G49" s="11"/>
      <c r="H49" s="11"/>
    </row>
    <row r="50" spans="1:8" s="9" customFormat="1" x14ac:dyDescent="0.25">
      <c r="A50" s="62"/>
      <c r="B50" s="16"/>
      <c r="C50" s="11"/>
      <c r="D50" s="11"/>
      <c r="F50" s="11"/>
      <c r="G50" s="11"/>
      <c r="H50" s="11"/>
    </row>
    <row r="51" spans="1:8" x14ac:dyDescent="0.25">
      <c r="A51" s="4" t="s">
        <v>180</v>
      </c>
      <c r="C51" s="90"/>
      <c r="D51" s="11" t="s">
        <v>13</v>
      </c>
      <c r="F51" s="11"/>
      <c r="G51" s="11"/>
      <c r="H51" s="11"/>
    </row>
    <row r="52" spans="1:8" ht="14.25" customHeight="1" x14ac:dyDescent="0.25">
      <c r="A52" s="4" t="s">
        <v>30</v>
      </c>
      <c r="B52" s="2">
        <f>misura2!Q3</f>
        <v>0</v>
      </c>
      <c r="D52" s="11" t="s">
        <v>13</v>
      </c>
      <c r="F52" s="11"/>
      <c r="G52" s="11"/>
      <c r="H52" s="11"/>
    </row>
    <row r="53" spans="1:8" s="9" customFormat="1" x14ac:dyDescent="0.25">
      <c r="A53" s="11" t="s">
        <v>219</v>
      </c>
      <c r="B53" s="11"/>
      <c r="C53" s="90"/>
      <c r="D53" s="11" t="s">
        <v>13</v>
      </c>
      <c r="F53" s="11"/>
      <c r="G53" s="11"/>
      <c r="H53" s="11"/>
    </row>
    <row r="54" spans="1:8" s="9" customFormat="1" x14ac:dyDescent="0.25">
      <c r="A54" s="4" t="s">
        <v>82</v>
      </c>
      <c r="B54" s="11"/>
      <c r="C54" s="90"/>
      <c r="D54" s="11"/>
      <c r="F54" s="11"/>
      <c r="G54" s="11"/>
      <c r="H54" s="11"/>
    </row>
    <row r="55" spans="1:8" s="9" customFormat="1" x14ac:dyDescent="0.25">
      <c r="A55" s="48"/>
      <c r="B55" s="11"/>
      <c r="D55" s="11"/>
      <c r="F55" s="11"/>
      <c r="G55" s="11"/>
      <c r="H55" s="11"/>
    </row>
    <row r="56" spans="1:8" s="9" customFormat="1" x14ac:dyDescent="0.25">
      <c r="A56" s="48"/>
      <c r="B56" s="11"/>
      <c r="C56" s="11"/>
      <c r="D56" s="11"/>
      <c r="F56" s="11"/>
      <c r="G56" s="11"/>
      <c r="H56" s="11"/>
    </row>
    <row r="57" spans="1:8" s="9" customFormat="1" x14ac:dyDescent="0.25">
      <c r="A57" s="4" t="s">
        <v>155</v>
      </c>
      <c r="B57" s="11"/>
      <c r="C57" s="43" t="str">
        <f>misura2!K21</f>
        <v>NO</v>
      </c>
      <c r="D57" s="11"/>
      <c r="F57" s="11"/>
      <c r="G57" s="11"/>
      <c r="H57" s="11"/>
    </row>
    <row r="58" spans="1:8" s="9" customFormat="1" x14ac:dyDescent="0.25">
      <c r="A58" s="63" t="s">
        <v>95</v>
      </c>
      <c r="B58" s="11"/>
      <c r="C58" s="38">
        <f>IF(C57="si",misura2!D18,0)</f>
        <v>0</v>
      </c>
      <c r="D58" s="11" t="s">
        <v>151</v>
      </c>
      <c r="F58" s="38">
        <f>IF(C57="SI",misura2!D16,0)</f>
        <v>0</v>
      </c>
      <c r="G58" s="11" t="s">
        <v>152</v>
      </c>
      <c r="H58" s="11"/>
    </row>
    <row r="59" spans="1:8" s="9" customFormat="1" x14ac:dyDescent="0.25">
      <c r="A59" s="48"/>
      <c r="B59" s="11"/>
      <c r="C59" s="11"/>
      <c r="D59" s="11"/>
      <c r="F59" s="11"/>
      <c r="G59" s="11"/>
      <c r="H59" s="11"/>
    </row>
    <row r="60" spans="1:8" s="9" customFormat="1" x14ac:dyDescent="0.25">
      <c r="A60" s="61" t="s">
        <v>99</v>
      </c>
      <c r="B60" s="11"/>
      <c r="C60" s="11"/>
      <c r="D60" s="11"/>
      <c r="F60" s="11"/>
      <c r="G60" s="11"/>
      <c r="H60" s="11"/>
    </row>
    <row r="61" spans="1:8" s="9" customFormat="1" x14ac:dyDescent="0.25">
      <c r="A61" s="48"/>
      <c r="D61" s="11"/>
      <c r="F61" s="11"/>
      <c r="G61" s="11"/>
      <c r="H61" s="11"/>
    </row>
    <row r="62" spans="1:8" x14ac:dyDescent="0.25">
      <c r="A62" s="4" t="s">
        <v>68</v>
      </c>
      <c r="C62" s="90"/>
      <c r="D62" s="11" t="s">
        <v>21</v>
      </c>
      <c r="F62" s="11"/>
      <c r="G62" s="11"/>
      <c r="H62" s="11"/>
    </row>
    <row r="63" spans="1:8" x14ac:dyDescent="0.25">
      <c r="D63" s="11"/>
      <c r="F63" s="11"/>
      <c r="G63" s="11"/>
      <c r="H63" s="11"/>
    </row>
    <row r="64" spans="1:8" s="9" customFormat="1" x14ac:dyDescent="0.25">
      <c r="A64" s="63" t="s">
        <v>95</v>
      </c>
      <c r="C64" s="38" t="e">
        <f>misura3!D16</f>
        <v>#DIV/0!</v>
      </c>
      <c r="D64" s="11" t="s">
        <v>151</v>
      </c>
      <c r="F64" s="38">
        <f>misura3!D14</f>
        <v>0</v>
      </c>
      <c r="G64" s="11" t="s">
        <v>152</v>
      </c>
      <c r="H64" s="11"/>
    </row>
    <row r="65" spans="1:12" s="9" customFormat="1" x14ac:dyDescent="0.25">
      <c r="A65" s="48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s="9" customFormat="1" x14ac:dyDescent="0.25">
      <c r="A66" s="48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s="9" customFormat="1" x14ac:dyDescent="0.25">
      <c r="A67" s="48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5">
      <c r="A68" s="64" t="s">
        <v>100</v>
      </c>
    </row>
    <row r="69" spans="1:12" s="9" customFormat="1" x14ac:dyDescent="0.25">
      <c r="A69" s="4" t="s">
        <v>94</v>
      </c>
      <c r="B69"/>
      <c r="C69" s="90"/>
      <c r="D69" t="s">
        <v>20</v>
      </c>
    </row>
    <row r="70" spans="1:12" s="9" customFormat="1" x14ac:dyDescent="0.25">
      <c r="A70" s="4"/>
      <c r="C70" s="11"/>
    </row>
    <row r="71" spans="1:12" s="9" customFormat="1" x14ac:dyDescent="0.25">
      <c r="A71" s="4" t="s">
        <v>39</v>
      </c>
      <c r="C71" s="90"/>
      <c r="D71" s="9" t="s">
        <v>20</v>
      </c>
    </row>
    <row r="72" spans="1:12" s="9" customFormat="1" x14ac:dyDescent="0.25">
      <c r="A72" s="4" t="s">
        <v>37</v>
      </c>
      <c r="B72" s="12">
        <f>misura4!P8</f>
        <v>0</v>
      </c>
      <c r="D72" s="9" t="s">
        <v>20</v>
      </c>
    </row>
    <row r="73" spans="1:12" x14ac:dyDescent="0.25">
      <c r="A73" s="4" t="s">
        <v>40</v>
      </c>
      <c r="C73" s="38">
        <f>misura4!P10</f>
        <v>0</v>
      </c>
      <c r="D73" t="s">
        <v>20</v>
      </c>
    </row>
    <row r="74" spans="1:12" s="9" customFormat="1" x14ac:dyDescent="0.25">
      <c r="A74" s="4"/>
      <c r="C74" s="11"/>
    </row>
    <row r="75" spans="1:12" s="9" customFormat="1" x14ac:dyDescent="0.25">
      <c r="A75" s="4" t="s">
        <v>155</v>
      </c>
      <c r="C75" s="43" t="str">
        <f>misura4!K24</f>
        <v>NO</v>
      </c>
    </row>
    <row r="76" spans="1:12" s="9" customFormat="1" x14ac:dyDescent="0.25">
      <c r="A76" s="63" t="s">
        <v>95</v>
      </c>
      <c r="C76" s="38">
        <f>IF(C75="SI",misura4!D16,0)</f>
        <v>0</v>
      </c>
      <c r="D76" s="11" t="s">
        <v>151</v>
      </c>
      <c r="F76" s="38">
        <f>IF(C75="SI",misura4!D14,0)</f>
        <v>0</v>
      </c>
      <c r="G76" s="11" t="s">
        <v>152</v>
      </c>
    </row>
    <row r="77" spans="1:12" s="11" customFormat="1" x14ac:dyDescent="0.25">
      <c r="A77" s="49"/>
    </row>
    <row r="78" spans="1:12" s="9" customFormat="1" x14ac:dyDescent="0.25">
      <c r="A78" s="48"/>
    </row>
    <row r="79" spans="1:12" x14ac:dyDescent="0.25">
      <c r="A79" s="59" t="s">
        <v>101</v>
      </c>
      <c r="F79" s="18"/>
      <c r="G79" s="17"/>
      <c r="H79" s="17"/>
      <c r="I79" s="18"/>
      <c r="J79" s="17"/>
      <c r="K79" s="17"/>
      <c r="L79" s="17"/>
    </row>
    <row r="80" spans="1:12" ht="65.25" customHeight="1" x14ac:dyDescent="0.25">
      <c r="A80" s="35" t="s">
        <v>92</v>
      </c>
      <c r="C80" s="91"/>
      <c r="F80" s="19"/>
      <c r="G80" s="20"/>
      <c r="H80" s="17"/>
      <c r="I80" s="19"/>
      <c r="J80" s="20"/>
      <c r="K80" s="17"/>
      <c r="L80" s="17"/>
    </row>
    <row r="81" spans="1:12" s="9" customFormat="1" ht="17.25" customHeight="1" x14ac:dyDescent="0.25">
      <c r="A81" s="35"/>
      <c r="B81" s="11"/>
      <c r="C81" s="16"/>
      <c r="D81" s="11"/>
      <c r="F81" s="19"/>
      <c r="G81" s="20"/>
      <c r="H81" s="17"/>
      <c r="I81" s="19"/>
      <c r="J81" s="20"/>
      <c r="K81" s="17"/>
      <c r="L81" s="17"/>
    </row>
    <row r="82" spans="1:12" s="9" customFormat="1" ht="18" customHeight="1" x14ac:dyDescent="0.25">
      <c r="A82" s="4" t="s">
        <v>155</v>
      </c>
      <c r="C82" s="44">
        <f>misura5!E6</f>
        <v>0</v>
      </c>
      <c r="D82" s="11"/>
      <c r="F82" s="19"/>
      <c r="G82" s="20"/>
      <c r="H82" s="17"/>
      <c r="I82" s="19"/>
      <c r="J82" s="20"/>
      <c r="K82" s="17"/>
      <c r="L82" s="17"/>
    </row>
    <row r="83" spans="1:12" x14ac:dyDescent="0.25">
      <c r="A83" s="4"/>
      <c r="C83" s="9"/>
      <c r="F83" s="19"/>
      <c r="G83" s="19"/>
      <c r="H83" s="17"/>
      <c r="I83" s="19"/>
      <c r="J83" s="19"/>
      <c r="K83" s="17"/>
      <c r="L83" s="17"/>
    </row>
    <row r="84" spans="1:12" x14ac:dyDescent="0.25">
      <c r="A84" s="63" t="s">
        <v>95</v>
      </c>
      <c r="B84" s="9"/>
      <c r="C84" s="38">
        <f>IF(C82="si",misura5!D12,0)</f>
        <v>0</v>
      </c>
      <c r="D84" s="11" t="s">
        <v>151</v>
      </c>
      <c r="F84" s="57">
        <f>IF(C82="si",C84*C8,0)</f>
        <v>0</v>
      </c>
      <c r="G84" s="11" t="s">
        <v>152</v>
      </c>
      <c r="H84" s="17"/>
      <c r="I84" s="18"/>
      <c r="J84" s="19"/>
      <c r="K84" s="17"/>
      <c r="L84" s="17"/>
    </row>
    <row r="85" spans="1:12" s="11" customFormat="1" x14ac:dyDescent="0.25">
      <c r="A85" s="49"/>
      <c r="F85" s="18"/>
      <c r="G85" s="19"/>
      <c r="H85" s="17"/>
      <c r="I85" s="18"/>
      <c r="J85" s="19"/>
      <c r="K85" s="17"/>
      <c r="L85" s="17"/>
    </row>
    <row r="86" spans="1:12" s="11" customFormat="1" x14ac:dyDescent="0.25">
      <c r="A86" s="49"/>
      <c r="F86" s="18"/>
      <c r="G86" s="19"/>
      <c r="H86" s="17"/>
      <c r="I86" s="18"/>
      <c r="J86" s="19"/>
      <c r="K86" s="17"/>
      <c r="L86" s="17"/>
    </row>
    <row r="87" spans="1:12" s="9" customFormat="1" x14ac:dyDescent="0.25">
      <c r="A87" s="61" t="s">
        <v>102</v>
      </c>
    </row>
    <row r="88" spans="1:12" x14ac:dyDescent="0.25">
      <c r="A88" s="4" t="s">
        <v>93</v>
      </c>
      <c r="B88" t="s">
        <v>8</v>
      </c>
      <c r="C88" s="90"/>
      <c r="D88" t="s">
        <v>13</v>
      </c>
    </row>
    <row r="89" spans="1:12" x14ac:dyDescent="0.25">
      <c r="A89" s="4" t="s">
        <v>4</v>
      </c>
      <c r="B89" t="s">
        <v>5</v>
      </c>
      <c r="C89" s="90"/>
      <c r="D89" t="s">
        <v>13</v>
      </c>
    </row>
    <row r="90" spans="1:12" x14ac:dyDescent="0.25">
      <c r="A90" s="4" t="s">
        <v>26</v>
      </c>
      <c r="B90" t="s">
        <v>6</v>
      </c>
      <c r="C90" s="90"/>
      <c r="D90" t="s">
        <v>13</v>
      </c>
    </row>
    <row r="91" spans="1:12" x14ac:dyDescent="0.25">
      <c r="A91" s="4" t="s">
        <v>175</v>
      </c>
      <c r="B91" t="s">
        <v>7</v>
      </c>
      <c r="C91" s="90"/>
      <c r="D91" t="s">
        <v>13</v>
      </c>
    </row>
    <row r="92" spans="1:12" s="9" customFormat="1" x14ac:dyDescent="0.25">
      <c r="A92" s="4" t="s">
        <v>209</v>
      </c>
      <c r="C92" s="90"/>
      <c r="D92" s="9" t="s">
        <v>21</v>
      </c>
    </row>
    <row r="93" spans="1:12" x14ac:dyDescent="0.25">
      <c r="A93" s="4" t="s">
        <v>176</v>
      </c>
      <c r="B93" t="s">
        <v>9</v>
      </c>
      <c r="C93" s="90"/>
      <c r="D93" t="s">
        <v>13</v>
      </c>
    </row>
    <row r="94" spans="1:12" x14ac:dyDescent="0.25">
      <c r="A94" s="4" t="s">
        <v>19</v>
      </c>
      <c r="C94" s="43">
        <f>C89+C90+C91+C92+C93</f>
        <v>0</v>
      </c>
      <c r="D94" t="s">
        <v>13</v>
      </c>
    </row>
    <row r="95" spans="1:12" x14ac:dyDescent="0.25">
      <c r="A95" s="4" t="s">
        <v>18</v>
      </c>
      <c r="B95" s="12">
        <f>Misura6!Q3</f>
        <v>0</v>
      </c>
      <c r="D95" t="s">
        <v>13</v>
      </c>
    </row>
    <row r="96" spans="1:12" s="9" customFormat="1" x14ac:dyDescent="0.25">
      <c r="A96" s="48" t="s">
        <v>45</v>
      </c>
      <c r="B96" s="11"/>
      <c r="C96" s="90"/>
      <c r="D96" s="9" t="s">
        <v>165</v>
      </c>
    </row>
    <row r="97" spans="1:7" s="9" customFormat="1" x14ac:dyDescent="0.25">
      <c r="A97" s="48"/>
      <c r="B97" s="11"/>
      <c r="C97" s="11"/>
    </row>
    <row r="98" spans="1:7" s="9" customFormat="1" x14ac:dyDescent="0.25">
      <c r="A98" s="4" t="s">
        <v>155</v>
      </c>
      <c r="B98" s="11"/>
      <c r="C98" s="43" t="str">
        <f>Misura6!K22</f>
        <v>NO</v>
      </c>
    </row>
    <row r="99" spans="1:7" s="9" customFormat="1" x14ac:dyDescent="0.25">
      <c r="A99" s="63" t="s">
        <v>95</v>
      </c>
      <c r="B99" s="11"/>
      <c r="C99" s="38">
        <f>IF(C98="SI",Misura6!D19,0)</f>
        <v>0</v>
      </c>
      <c r="D99" s="11" t="s">
        <v>151</v>
      </c>
      <c r="F99" s="38">
        <f>IF(C98="SI",Misura6!D17,0)</f>
        <v>0</v>
      </c>
      <c r="G99" s="11" t="s">
        <v>152</v>
      </c>
    </row>
    <row r="100" spans="1:7" s="9" customFormat="1" x14ac:dyDescent="0.25">
      <c r="A100" s="48"/>
      <c r="B100" s="11"/>
      <c r="C100" s="11"/>
    </row>
    <row r="101" spans="1:7" s="9" customFormat="1" x14ac:dyDescent="0.25">
      <c r="A101" s="48"/>
      <c r="B101" s="11"/>
      <c r="C101" s="11"/>
    </row>
    <row r="102" spans="1:7" x14ac:dyDescent="0.25">
      <c r="A102" s="61" t="s">
        <v>207</v>
      </c>
    </row>
    <row r="103" spans="1:7" ht="30" x14ac:dyDescent="0.25">
      <c r="A103" s="4" t="s">
        <v>217</v>
      </c>
      <c r="C103" s="90"/>
      <c r="D103" s="9" t="s">
        <v>13</v>
      </c>
    </row>
    <row r="104" spans="1:7" s="9" customFormat="1" ht="30" x14ac:dyDescent="0.25">
      <c r="A104" s="4" t="s">
        <v>216</v>
      </c>
      <c r="C104" s="90"/>
      <c r="D104" t="s">
        <v>13</v>
      </c>
    </row>
    <row r="105" spans="1:7" s="9" customFormat="1" x14ac:dyDescent="0.25">
      <c r="A105" s="4" t="s">
        <v>34</v>
      </c>
      <c r="B105" s="12">
        <f>Misura7!Q3</f>
        <v>0</v>
      </c>
      <c r="C105" s="11"/>
      <c r="D105" s="9" t="s">
        <v>13</v>
      </c>
    </row>
    <row r="106" spans="1:7" s="9" customFormat="1" x14ac:dyDescent="0.25">
      <c r="A106" s="48" t="s">
        <v>45</v>
      </c>
      <c r="C106" s="90"/>
      <c r="D106" s="9" t="s">
        <v>166</v>
      </c>
    </row>
    <row r="107" spans="1:7" s="9" customFormat="1" x14ac:dyDescent="0.25">
      <c r="A107" s="4"/>
      <c r="C107" s="11"/>
    </row>
    <row r="108" spans="1:7" s="9" customFormat="1" x14ac:dyDescent="0.25">
      <c r="A108" s="4" t="s">
        <v>155</v>
      </c>
      <c r="C108" s="38" t="str">
        <f>Misura7!K23</f>
        <v>NO</v>
      </c>
    </row>
    <row r="109" spans="1:7" s="9" customFormat="1" x14ac:dyDescent="0.25">
      <c r="A109" s="63" t="s">
        <v>95</v>
      </c>
      <c r="C109" s="38">
        <f>IF(C108="SI",Misura7!D19,0)</f>
        <v>0</v>
      </c>
      <c r="D109" s="11" t="s">
        <v>151</v>
      </c>
      <c r="F109" s="38">
        <f>IF(C108="SI",Misura7!D17,0)</f>
        <v>0</v>
      </c>
      <c r="G109" s="11" t="s">
        <v>152</v>
      </c>
    </row>
    <row r="110" spans="1:7" s="9" customFormat="1" x14ac:dyDescent="0.25">
      <c r="A110" s="4"/>
      <c r="C110" s="11"/>
      <c r="D110" s="11"/>
      <c r="E110" s="11"/>
      <c r="F110" s="11"/>
    </row>
    <row r="111" spans="1:7" s="9" customFormat="1" ht="30" x14ac:dyDescent="0.25">
      <c r="A111" s="61" t="s">
        <v>199</v>
      </c>
      <c r="C111" s="11"/>
    </row>
    <row r="112" spans="1:7" s="9" customFormat="1" ht="15.75" thickBot="1" x14ac:dyDescent="0.3">
      <c r="A112" s="61"/>
      <c r="C112" s="11"/>
    </row>
    <row r="113" spans="1:5" s="9" customFormat="1" ht="30" x14ac:dyDescent="0.25">
      <c r="A113" s="86" t="s">
        <v>187</v>
      </c>
      <c r="C113" s="11"/>
    </row>
    <row r="114" spans="1:5" s="9" customFormat="1" x14ac:dyDescent="0.25">
      <c r="A114" s="73"/>
      <c r="C114" s="11"/>
    </row>
    <row r="115" spans="1:5" s="9" customFormat="1" ht="60" x14ac:dyDescent="0.25">
      <c r="A115" s="74" t="s">
        <v>188</v>
      </c>
      <c r="C115" s="90"/>
    </row>
    <row r="116" spans="1:5" s="9" customFormat="1" x14ac:dyDescent="0.25">
      <c r="A116" s="74"/>
    </row>
    <row r="117" spans="1:5" s="9" customFormat="1" x14ac:dyDescent="0.25">
      <c r="A117" s="74"/>
    </row>
    <row r="118" spans="1:5" s="9" customFormat="1" ht="32.25" customHeight="1" x14ac:dyDescent="0.25">
      <c r="A118" s="75" t="s">
        <v>189</v>
      </c>
      <c r="C118" s="11"/>
    </row>
    <row r="119" spans="1:5" s="9" customFormat="1" ht="15" customHeight="1" x14ac:dyDescent="0.25">
      <c r="A119" s="76" t="s">
        <v>113</v>
      </c>
      <c r="C119" s="90"/>
      <c r="D119" s="9" t="s">
        <v>21</v>
      </c>
      <c r="E119" s="45"/>
    </row>
    <row r="120" spans="1:5" s="9" customFormat="1" ht="18" customHeight="1" x14ac:dyDescent="0.25">
      <c r="A120" s="76" t="s">
        <v>200</v>
      </c>
      <c r="B120" s="12">
        <f>misura8!C9</f>
        <v>0</v>
      </c>
      <c r="C120" s="45"/>
      <c r="D120" s="9" t="s">
        <v>13</v>
      </c>
      <c r="E120" s="45"/>
    </row>
    <row r="121" spans="1:5" s="9" customFormat="1" ht="16.5" customHeight="1" x14ac:dyDescent="0.25">
      <c r="A121" s="77" t="s">
        <v>121</v>
      </c>
      <c r="C121" s="90"/>
      <c r="D121" s="9" t="s">
        <v>13</v>
      </c>
      <c r="E121" s="45"/>
    </row>
    <row r="122" spans="1:5" s="9" customFormat="1" ht="18.75" customHeight="1" x14ac:dyDescent="0.25">
      <c r="A122" s="76" t="s">
        <v>122</v>
      </c>
      <c r="C122" s="90"/>
      <c r="D122" s="9" t="s">
        <v>13</v>
      </c>
      <c r="E122" s="45"/>
    </row>
    <row r="123" spans="1:5" s="9" customFormat="1" x14ac:dyDescent="0.25">
      <c r="A123" s="76" t="s">
        <v>108</v>
      </c>
      <c r="C123" s="90"/>
      <c r="D123" s="9" t="s">
        <v>12</v>
      </c>
      <c r="E123" s="46"/>
    </row>
    <row r="124" spans="1:5" s="9" customFormat="1" x14ac:dyDescent="0.25">
      <c r="A124" s="76" t="s">
        <v>106</v>
      </c>
      <c r="C124" s="90"/>
      <c r="D124" s="9" t="s">
        <v>12</v>
      </c>
    </row>
    <row r="125" spans="1:5" s="9" customFormat="1" x14ac:dyDescent="0.25">
      <c r="A125" s="78"/>
      <c r="C125" s="11"/>
    </row>
    <row r="126" spans="1:5" s="9" customFormat="1" ht="45" x14ac:dyDescent="0.25">
      <c r="A126" s="79" t="s">
        <v>190</v>
      </c>
      <c r="C126" s="11"/>
    </row>
    <row r="127" spans="1:5" s="9" customFormat="1" ht="30" x14ac:dyDescent="0.25">
      <c r="A127" s="80" t="s">
        <v>204</v>
      </c>
      <c r="C127" s="90"/>
    </row>
    <row r="128" spans="1:5" s="9" customFormat="1" x14ac:dyDescent="0.25">
      <c r="A128" s="80" t="s">
        <v>122</v>
      </c>
      <c r="C128" s="90"/>
      <c r="D128" s="9" t="s">
        <v>13</v>
      </c>
    </row>
    <row r="129" spans="1:7" s="9" customFormat="1" x14ac:dyDescent="0.25">
      <c r="A129" s="80"/>
    </row>
    <row r="130" spans="1:7" s="9" customFormat="1" x14ac:dyDescent="0.25">
      <c r="A130" s="80" t="s">
        <v>197</v>
      </c>
      <c r="C130" s="9" t="str">
        <f>IF(C6="nuova costruzione o ristrutturazione urbanistica o ristrutturazione edilizia con demolizione e ricostruzione",misura8!C37,"")</f>
        <v/>
      </c>
    </row>
    <row r="131" spans="1:7" s="9" customFormat="1" ht="15.75" thickBot="1" x14ac:dyDescent="0.3">
      <c r="A131" s="88" t="s">
        <v>95</v>
      </c>
      <c r="C131" s="38">
        <f>IF(C130="si",misura8!D34,0)</f>
        <v>0</v>
      </c>
      <c r="D131" s="11" t="s">
        <v>151</v>
      </c>
      <c r="F131" s="38">
        <f>IF(C130="si",misura8!B34,0)</f>
        <v>0</v>
      </c>
      <c r="G131" s="11" t="s">
        <v>152</v>
      </c>
    </row>
    <row r="132" spans="1:7" s="9" customFormat="1" x14ac:dyDescent="0.25">
      <c r="A132" s="41"/>
      <c r="C132" s="11"/>
    </row>
    <row r="133" spans="1:7" s="9" customFormat="1" x14ac:dyDescent="0.25">
      <c r="A133" s="41"/>
      <c r="C133" s="11"/>
    </row>
    <row r="134" spans="1:7" s="9" customFormat="1" x14ac:dyDescent="0.25">
      <c r="A134" s="41"/>
      <c r="C134" s="11"/>
    </row>
    <row r="135" spans="1:7" s="9" customFormat="1" ht="30" x14ac:dyDescent="0.25">
      <c r="A135" s="81" t="s">
        <v>196</v>
      </c>
      <c r="C135" s="11"/>
    </row>
    <row r="136" spans="1:7" s="9" customFormat="1" x14ac:dyDescent="0.25">
      <c r="A136" s="82"/>
      <c r="C136" s="11"/>
    </row>
    <row r="137" spans="1:7" s="9" customFormat="1" x14ac:dyDescent="0.25">
      <c r="A137" s="82" t="s">
        <v>114</v>
      </c>
      <c r="C137" s="90"/>
    </row>
    <row r="138" spans="1:7" s="9" customFormat="1" x14ac:dyDescent="0.25">
      <c r="A138" s="82"/>
    </row>
    <row r="139" spans="1:7" s="9" customFormat="1" x14ac:dyDescent="0.25">
      <c r="A139" s="82" t="s">
        <v>115</v>
      </c>
      <c r="C139" s="90"/>
    </row>
    <row r="140" spans="1:7" s="9" customFormat="1" x14ac:dyDescent="0.25">
      <c r="A140" s="83" t="s">
        <v>120</v>
      </c>
      <c r="C140" s="90"/>
    </row>
    <row r="141" spans="1:7" s="9" customFormat="1" x14ac:dyDescent="0.25">
      <c r="A141" s="83" t="s">
        <v>202</v>
      </c>
      <c r="C141" s="90"/>
    </row>
    <row r="142" spans="1:7" s="9" customFormat="1" x14ac:dyDescent="0.25">
      <c r="A142" s="82" t="s">
        <v>116</v>
      </c>
      <c r="C142" s="90"/>
    </row>
    <row r="143" spans="1:7" s="9" customFormat="1" x14ac:dyDescent="0.25">
      <c r="A143" s="84"/>
    </row>
    <row r="144" spans="1:7" s="9" customFormat="1" x14ac:dyDescent="0.25">
      <c r="A144" s="85" t="s">
        <v>155</v>
      </c>
      <c r="B144" s="11"/>
      <c r="C144" s="38" t="str">
        <f>IF(C6="restauro o risanamento conservativo o ristrutturazione edilizia",misura8!C50,"")</f>
        <v>no</v>
      </c>
    </row>
    <row r="145" spans="1:8" s="9" customFormat="1" x14ac:dyDescent="0.25">
      <c r="A145" s="63" t="s">
        <v>95</v>
      </c>
      <c r="C145" s="39">
        <f>IF(C144="si",misura8!D52,0)</f>
        <v>0</v>
      </c>
      <c r="D145" s="11" t="s">
        <v>151</v>
      </c>
      <c r="F145" s="38">
        <f>IF(C144="si",misura8!B52,0)</f>
        <v>0</v>
      </c>
      <c r="G145" s="11" t="s">
        <v>152</v>
      </c>
    </row>
    <row r="146" spans="1:8" s="9" customFormat="1" x14ac:dyDescent="0.25">
      <c r="A146" s="49"/>
      <c r="B146" s="11"/>
      <c r="D146" s="11"/>
    </row>
    <row r="147" spans="1:8" s="9" customFormat="1" x14ac:dyDescent="0.25">
      <c r="A147" s="49"/>
      <c r="B147" s="11"/>
      <c r="D147" s="11"/>
    </row>
    <row r="148" spans="1:8" x14ac:dyDescent="0.25">
      <c r="A148" s="65"/>
      <c r="B148" s="42"/>
      <c r="C148" s="42"/>
      <c r="D148" s="42"/>
      <c r="E148" s="42"/>
      <c r="F148" s="42"/>
      <c r="G148" s="42"/>
    </row>
    <row r="149" spans="1:8" s="9" customFormat="1" x14ac:dyDescent="0.25">
      <c r="A149" s="66"/>
      <c r="B149" s="56"/>
      <c r="C149" s="56"/>
      <c r="D149" s="56"/>
      <c r="E149" s="56"/>
      <c r="F149" s="56"/>
      <c r="G149" s="56"/>
    </row>
    <row r="150" spans="1:8" s="9" customFormat="1" ht="18.75" x14ac:dyDescent="0.3">
      <c r="A150" s="67" t="s">
        <v>41</v>
      </c>
      <c r="B150" s="56"/>
      <c r="C150" s="56"/>
      <c r="D150" s="56"/>
      <c r="E150" s="56"/>
      <c r="F150" s="56"/>
      <c r="G150" s="56"/>
    </row>
    <row r="151" spans="1:8" s="9" customFormat="1" x14ac:dyDescent="0.25">
      <c r="A151" s="66"/>
      <c r="B151" s="56"/>
      <c r="C151" s="56"/>
      <c r="D151" s="56"/>
      <c r="E151" s="56"/>
      <c r="F151" s="56"/>
      <c r="G151" s="56"/>
    </row>
    <row r="152" spans="1:8" s="9" customFormat="1" x14ac:dyDescent="0.25">
      <c r="A152" s="66"/>
      <c r="B152" s="56"/>
      <c r="C152" s="56"/>
      <c r="D152" s="56"/>
      <c r="E152" s="56"/>
      <c r="F152" s="56"/>
      <c r="G152" s="56"/>
    </row>
    <row r="153" spans="1:8" x14ac:dyDescent="0.25">
      <c r="A153" s="58" t="s">
        <v>110</v>
      </c>
    </row>
    <row r="155" spans="1:8" x14ac:dyDescent="0.25">
      <c r="A155" s="37" t="s">
        <v>191</v>
      </c>
      <c r="C155" s="15" t="e">
        <f>IF(C6="restauro o risanamento conservativo o ristrutturazione edilizia",(C145+C109+C99+C84+C76+C64+C58+C44),"")</f>
        <v>#DIV/0!</v>
      </c>
      <c r="D155" s="11" t="s">
        <v>151</v>
      </c>
      <c r="F155" s="15" t="e">
        <f>IF(C6="restauro o risanamento conservativo o ristrutturazione edilizia",(F44+F58+F64+F76+F84+F99+F109+F145),"")</f>
        <v>#DIV/0!</v>
      </c>
      <c r="G155" s="9" t="s">
        <v>153</v>
      </c>
      <c r="H155" s="9"/>
    </row>
    <row r="156" spans="1:8" x14ac:dyDescent="0.25">
      <c r="A156" s="4"/>
    </row>
    <row r="157" spans="1:8" s="11" customFormat="1" x14ac:dyDescent="0.25">
      <c r="A157" s="37" t="s">
        <v>192</v>
      </c>
      <c r="C157" s="14" t="e">
        <f>IF(C6="restauro o risanamento conservativo o ristrutturazione edilizia",(misura1!M4*0.15),"")</f>
        <v>#DIV/0!</v>
      </c>
      <c r="D157" s="11" t="s">
        <v>151</v>
      </c>
      <c r="F157" s="15" t="e">
        <f>IF(C6="restauro o risanamento conservativo o ristrutturazione edilizia",(misura1!M4*C8*0.15),"")</f>
        <v>#DIV/0!</v>
      </c>
      <c r="G157" s="9" t="s">
        <v>153</v>
      </c>
    </row>
    <row r="158" spans="1:8" s="11" customFormat="1" x14ac:dyDescent="0.25">
      <c r="A158" s="49"/>
    </row>
    <row r="159" spans="1:8" s="11" customFormat="1" x14ac:dyDescent="0.25">
      <c r="A159" s="54" t="s">
        <v>112</v>
      </c>
      <c r="C159" s="70" t="e">
        <f>IF(C6="restauro o risanamento conservativo o ristrutturazione edilizia",IF(C155&gt;=C157,"SI'","NO"),"")</f>
        <v>#DIV/0!</v>
      </c>
    </row>
    <row r="160" spans="1:8" s="11" customFormat="1" x14ac:dyDescent="0.25">
      <c r="A160" s="49"/>
    </row>
    <row r="161" spans="1:15" x14ac:dyDescent="0.25">
      <c r="A161" s="37" t="s">
        <v>193</v>
      </c>
      <c r="C161" s="89" t="e">
        <f>IF(C6="restauro o risanamento conservativo o ristrutturazione edilizia",IF((C157-C155)&lt;=0,0,(C157-C155)),"")</f>
        <v>#DIV/0!</v>
      </c>
      <c r="D161" s="11" t="s">
        <v>151</v>
      </c>
      <c r="E161" s="13"/>
      <c r="F161" s="89" t="e">
        <f>IF(C6="restauro o risanamento conservativo o ristrutturazione edilizia",IF((F157-F155)&lt;=0,0,(F157-F155)),"")</f>
        <v>#DIV/0!</v>
      </c>
      <c r="G161" s="9" t="s">
        <v>153</v>
      </c>
    </row>
    <row r="163" spans="1:15" x14ac:dyDescent="0.25">
      <c r="A163" s="54" t="s">
        <v>194</v>
      </c>
      <c r="C163" s="71" t="e">
        <f>IF(C6="restauro o risanamento conservativo o ristrutturazione edilizia",IF(C161&gt;0,(C161*J163/10^3),"-"),"")</f>
        <v>#DIV/0!</v>
      </c>
      <c r="D163" s="11" t="s">
        <v>156</v>
      </c>
      <c r="E163" s="11"/>
      <c r="F163" s="71" t="e">
        <f>IF(C6="restauro o risanamento conservativo o ristrutturazione edilizia",IF(F161&gt;0,(F161*J163/10^3),"-"),"")</f>
        <v>#DIV/0!</v>
      </c>
      <c r="G163" t="s">
        <v>154</v>
      </c>
      <c r="I163" t="s">
        <v>66</v>
      </c>
      <c r="J163">
        <v>50</v>
      </c>
    </row>
    <row r="164" spans="1:15" x14ac:dyDescent="0.25">
      <c r="F164" s="11"/>
      <c r="K164" s="4"/>
    </row>
    <row r="165" spans="1:15" ht="30" x14ac:dyDescent="0.25">
      <c r="A165" s="54" t="s">
        <v>185</v>
      </c>
      <c r="C165" s="70" t="e">
        <f>IF(C6="restauro o risanamento conservativo o ristrutturazione edilizia",IF(C155&gt;=misura1!M4*0.25,"SI'","no"),"")</f>
        <v>#DIV/0!</v>
      </c>
    </row>
    <row r="167" spans="1:15" ht="30" x14ac:dyDescent="0.25">
      <c r="A167" s="68" t="s">
        <v>111</v>
      </c>
    </row>
    <row r="168" spans="1:15" x14ac:dyDescent="0.25">
      <c r="B168" s="9"/>
    </row>
    <row r="169" spans="1:15" s="9" customFormat="1" x14ac:dyDescent="0.25">
      <c r="A169" s="37" t="s">
        <v>198</v>
      </c>
      <c r="C169" s="14" t="str">
        <f>IF($C$6="nuova costruzione o ristrutturazione urbanistica o ristrutturazione edilizia con demolizione e ricostruzione",(C47-C58-C64-C76-C84-C99-C109-C131),"")</f>
        <v/>
      </c>
      <c r="D169" s="11" t="s">
        <v>151</v>
      </c>
      <c r="F169" s="14" t="str">
        <f>IF($C$6="nuova costruzione o ristrutturazione urbanistica o ristrutturazione edilizia con demolizione e ricostruzione",(F47-F58-F64-F76-F84-F99-F109-F131),"")</f>
        <v/>
      </c>
      <c r="G169" s="9" t="s">
        <v>153</v>
      </c>
    </row>
    <row r="170" spans="1:15" s="9" customFormat="1" x14ac:dyDescent="0.25">
      <c r="A170" s="48"/>
    </row>
    <row r="171" spans="1:15" x14ac:dyDescent="0.25">
      <c r="A171" s="54" t="s">
        <v>215</v>
      </c>
      <c r="C171" s="14" t="str">
        <f>IF($C$6="nuova costruzione o ristrutturazione urbanistica o ristrutturazione edilizia con demolizione e ricostruzione",IF(C169&gt;=0,C169*J163/10^3,0),"")</f>
        <v/>
      </c>
      <c r="D171" s="11" t="s">
        <v>156</v>
      </c>
      <c r="F171" s="14" t="str">
        <f>IF($C$6="nuova costruzione o ristrutturazione urbanistica o ristrutturazione edilizia con demolizione e ricostruzione",IF(F169&gt;=0,F169*J163/10^3,0),"")</f>
        <v/>
      </c>
      <c r="G171" s="9" t="s">
        <v>154</v>
      </c>
    </row>
    <row r="172" spans="1:15" s="9" customFormat="1" x14ac:dyDescent="0.25">
      <c r="A172" s="58"/>
    </row>
    <row r="173" spans="1:15" s="9" customFormat="1" x14ac:dyDescent="0.25">
      <c r="A173" s="58"/>
    </row>
    <row r="174" spans="1:15" ht="21" x14ac:dyDescent="0.35">
      <c r="A174" s="69"/>
      <c r="B174" s="11"/>
      <c r="C174" s="11"/>
      <c r="D174" s="11"/>
      <c r="E174" s="11"/>
      <c r="F174" s="11"/>
      <c r="G174" s="55"/>
      <c r="H174" s="11"/>
      <c r="I174" s="11"/>
      <c r="J174" s="11"/>
      <c r="K174" s="35"/>
      <c r="L174" s="11"/>
      <c r="M174" s="11"/>
      <c r="N174" s="11"/>
      <c r="O174" s="11"/>
    </row>
    <row r="175" spans="1:15" x14ac:dyDescent="0.25">
      <c r="A175" s="49"/>
      <c r="B175" s="11"/>
      <c r="C175" s="50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5" x14ac:dyDescent="0.25">
      <c r="A176" s="49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 x14ac:dyDescent="0.25">
      <c r="A177" s="49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1:15" x14ac:dyDescent="0.25">
      <c r="A178" s="49"/>
      <c r="B178" s="11"/>
      <c r="C178" s="11"/>
      <c r="D178" s="11"/>
      <c r="E178" s="11"/>
      <c r="F178" s="11"/>
      <c r="G178" s="11"/>
      <c r="H178" s="11"/>
      <c r="I178" s="16"/>
      <c r="J178" s="11"/>
      <c r="K178" s="11"/>
      <c r="L178" s="11"/>
      <c r="M178" s="11"/>
      <c r="N178" s="11"/>
      <c r="O178" s="11"/>
    </row>
    <row r="179" spans="1:15" x14ac:dyDescent="0.25">
      <c r="A179" s="49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1:15" x14ac:dyDescent="0.25">
      <c r="A180" s="49"/>
      <c r="B180" s="11"/>
      <c r="C180" s="16"/>
      <c r="D180" s="11"/>
      <c r="E180" s="11"/>
      <c r="F180" s="11"/>
      <c r="G180" s="11"/>
      <c r="H180" s="11"/>
      <c r="I180" s="16"/>
      <c r="J180" s="11"/>
      <c r="K180" s="11"/>
      <c r="L180" s="11"/>
      <c r="M180" s="11"/>
      <c r="N180" s="11"/>
      <c r="O180" s="11"/>
    </row>
    <row r="181" spans="1:15" x14ac:dyDescent="0.25">
      <c r="A181" s="49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1:15" x14ac:dyDescent="0.25">
      <c r="A182" s="49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1:15" x14ac:dyDescent="0.25">
      <c r="A183" s="49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1:15" x14ac:dyDescent="0.25">
      <c r="A184" s="49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5" x14ac:dyDescent="0.25">
      <c r="A185" s="49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1:15" x14ac:dyDescent="0.25">
      <c r="D186" s="11"/>
      <c r="I186" s="4"/>
    </row>
  </sheetData>
  <sheetProtection algorithmName="SHA-512" hashValue="CZ/30dJfy0zpPTAmqAE+xSa7eqtr0bG18hRYebrboFFeRndRD6wAErrLrxW70DcB7cpSUZB/4QKnCZ61039r0w==" saltValue="EQkrt2SLV4KKo411YryQYQ==" spinCount="100000" sheet="1" objects="1" scenarios="1"/>
  <mergeCells count="2">
    <mergeCell ref="A1:B1"/>
    <mergeCell ref="A2:B2"/>
  </mergeCells>
  <phoneticPr fontId="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dropdownmenus!$A$3:$A$4</xm:f>
          </x14:formula1>
          <xm:sqref>C6</xm:sqref>
        </x14:dataValidation>
        <x14:dataValidation type="list" allowBlank="1" showInputMessage="1" showErrorMessage="1">
          <x14:formula1>
            <xm:f>dropdownmenus!$A$6:$A$7</xm:f>
          </x14:formula1>
          <xm:sqref>C80:C81 C137:C138 C127 C115</xm:sqref>
        </x14:dataValidation>
        <x14:dataValidation type="list" allowBlank="1" showInputMessage="1" showErrorMessage="1">
          <x14:formula1>
            <xm:f>dropdownmenus!$A$10:$A$12</xm:f>
          </x14:formula1>
          <xm:sqref>C19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2"/>
  <sheetViews>
    <sheetView workbookViewId="0">
      <selection activeCell="T28" sqref="T28"/>
    </sheetView>
  </sheetViews>
  <sheetFormatPr defaultRowHeight="15" x14ac:dyDescent="0.25"/>
  <cols>
    <col min="1" max="1" width="25" customWidth="1"/>
  </cols>
  <sheetData>
    <row r="3" spans="1:1" x14ac:dyDescent="0.25">
      <c r="A3" t="s">
        <v>42</v>
      </c>
    </row>
    <row r="4" spans="1:1" x14ac:dyDescent="0.25">
      <c r="A4" t="s">
        <v>109</v>
      </c>
    </row>
    <row r="6" spans="1:1" x14ac:dyDescent="0.25">
      <c r="A6" t="s">
        <v>85</v>
      </c>
    </row>
    <row r="7" spans="1:1" x14ac:dyDescent="0.25">
      <c r="A7" t="s">
        <v>86</v>
      </c>
    </row>
    <row r="10" spans="1:1" x14ac:dyDescent="0.25">
      <c r="A10" s="9" t="s">
        <v>211</v>
      </c>
    </row>
    <row r="11" spans="1:1" x14ac:dyDescent="0.25">
      <c r="A11" s="9" t="s">
        <v>213</v>
      </c>
    </row>
    <row r="12" spans="1:1" x14ac:dyDescent="0.25">
      <c r="A12" s="9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31"/>
  <sheetViews>
    <sheetView topLeftCell="D31" workbookViewId="0">
      <selection activeCell="T28" sqref="T28"/>
    </sheetView>
  </sheetViews>
  <sheetFormatPr defaultRowHeight="15" x14ac:dyDescent="0.25"/>
  <cols>
    <col min="4" max="4" width="8.5703125" customWidth="1"/>
    <col min="12" max="12" width="62.5703125" customWidth="1"/>
    <col min="13" max="13" width="25.28515625" customWidth="1"/>
    <col min="14" max="14" width="4.7109375" customWidth="1"/>
    <col min="15" max="15" width="4.85546875" customWidth="1"/>
    <col min="16" max="16" width="4.42578125" customWidth="1"/>
    <col min="17" max="17" width="10.140625" bestFit="1" customWidth="1"/>
    <col min="19" max="19" width="18.140625" customWidth="1"/>
  </cols>
  <sheetData>
    <row r="4" spans="1:21" ht="16.5" customHeight="1" x14ac:dyDescent="0.25">
      <c r="A4" t="s">
        <v>160</v>
      </c>
      <c r="C4">
        <v>1</v>
      </c>
      <c r="E4" s="40" t="s">
        <v>161</v>
      </c>
      <c r="L4" s="4" t="s">
        <v>78</v>
      </c>
      <c r="M4" s="11" t="e">
        <f>(dati!C31*misura1!S12+dati!C32*misura1!S13+dati!C33*misura1!S14+dati!C34*misura1!S15+dati!C35*misura1!S16+dati!C36*misura1!S17+dati!C37*misura1!S18)/dati!C8</f>
        <v>#DIV/0!</v>
      </c>
      <c r="N4" s="9" t="s">
        <v>15</v>
      </c>
      <c r="Q4" s="8"/>
    </row>
    <row r="5" spans="1:21" x14ac:dyDescent="0.25">
      <c r="L5" t="s">
        <v>77</v>
      </c>
      <c r="M5" s="11" t="e">
        <f>(dati!C21*misura1!S12+dati!C22*misura1!S13+dati!C23*misura1!S14+dati!C24*misura1!S15+dati!C25*misura1!S16+dati!C26*misura1!S17+dati!C27*misura1!S18)/dati!C8</f>
        <v>#DIV/0!</v>
      </c>
      <c r="N5" s="9" t="s">
        <v>15</v>
      </c>
      <c r="Q5" s="1"/>
    </row>
    <row r="7" spans="1:21" x14ac:dyDescent="0.25">
      <c r="N7" s="9"/>
    </row>
    <row r="9" spans="1:21" x14ac:dyDescent="0.25">
      <c r="A9" t="s">
        <v>25</v>
      </c>
      <c r="D9" s="11"/>
      <c r="E9" s="11"/>
      <c r="F9" s="11"/>
      <c r="L9" s="1"/>
      <c r="M9" s="1"/>
      <c r="N9" s="1"/>
      <c r="O9" s="1"/>
      <c r="P9" s="1"/>
      <c r="Q9" s="1"/>
      <c r="R9" s="1"/>
    </row>
    <row r="10" spans="1:21" x14ac:dyDescent="0.25">
      <c r="A10" t="s">
        <v>1</v>
      </c>
      <c r="D10" s="2" t="e">
        <f>(M4-M5)*dati!C8</f>
        <v>#DIV/0!</v>
      </c>
      <c r="E10" t="s">
        <v>23</v>
      </c>
      <c r="L10" s="1"/>
      <c r="M10" s="1"/>
      <c r="N10" s="1"/>
      <c r="O10" s="1"/>
      <c r="P10" s="1"/>
      <c r="Q10" s="1"/>
      <c r="R10" s="1"/>
    </row>
    <row r="11" spans="1:21" x14ac:dyDescent="0.25">
      <c r="L11" s="1"/>
      <c r="M11" s="1"/>
      <c r="N11" s="1"/>
      <c r="O11" s="1"/>
      <c r="P11" s="1"/>
      <c r="Q11" s="1"/>
      <c r="R11" s="1"/>
    </row>
    <row r="12" spans="1:21" x14ac:dyDescent="0.25">
      <c r="A12" t="s">
        <v>167</v>
      </c>
      <c r="D12" s="2" t="e">
        <f>D10/dati!C8</f>
        <v>#DIV/0!</v>
      </c>
      <c r="E12" t="s">
        <v>15</v>
      </c>
      <c r="Q12" t="s">
        <v>69</v>
      </c>
      <c r="S12">
        <v>0.19980000000000001</v>
      </c>
      <c r="T12" t="s">
        <v>73</v>
      </c>
    </row>
    <row r="13" spans="1:21" x14ac:dyDescent="0.25">
      <c r="Q13" t="s">
        <v>70</v>
      </c>
      <c r="S13">
        <v>0.22539999999999999</v>
      </c>
      <c r="T13" s="9" t="s">
        <v>73</v>
      </c>
    </row>
    <row r="14" spans="1:21" x14ac:dyDescent="0.25">
      <c r="Q14" s="11" t="s">
        <v>71</v>
      </c>
      <c r="R14" s="11"/>
      <c r="S14" s="11">
        <v>0.26419999999999999</v>
      </c>
      <c r="T14" s="11" t="s">
        <v>73</v>
      </c>
      <c r="U14" s="11"/>
    </row>
    <row r="15" spans="1:21" x14ac:dyDescent="0.25">
      <c r="Q15" s="11" t="s">
        <v>72</v>
      </c>
      <c r="R15" s="11"/>
      <c r="S15" s="11">
        <v>0.43319999999999997</v>
      </c>
      <c r="T15" s="11" t="s">
        <v>73</v>
      </c>
      <c r="U15" s="11"/>
    </row>
    <row r="16" spans="1:2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Q16" s="11" t="s">
        <v>76</v>
      </c>
      <c r="R16" s="11"/>
      <c r="S16" s="11">
        <f>T27</f>
        <v>0</v>
      </c>
      <c r="T16" s="11" t="s">
        <v>73</v>
      </c>
      <c r="U16" s="11"/>
    </row>
    <row r="17" spans="1:2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Q17" s="11" t="s">
        <v>88</v>
      </c>
      <c r="R17" s="11"/>
      <c r="S17" s="11">
        <v>0.16880000000000001</v>
      </c>
      <c r="T17" s="11" t="s">
        <v>73</v>
      </c>
      <c r="U17" s="11"/>
    </row>
    <row r="18" spans="1:21" x14ac:dyDescent="0.25">
      <c r="Q18" s="11" t="s">
        <v>89</v>
      </c>
      <c r="R18" s="11"/>
      <c r="S18" s="11">
        <v>0</v>
      </c>
      <c r="T18" s="11" t="s">
        <v>73</v>
      </c>
      <c r="U18" s="11"/>
    </row>
    <row r="19" spans="1:21" x14ac:dyDescent="0.25">
      <c r="Q19" s="11"/>
      <c r="R19" s="11"/>
      <c r="S19" s="11"/>
      <c r="T19" s="11"/>
      <c r="U19" s="11"/>
    </row>
    <row r="20" spans="1:21" x14ac:dyDescent="0.25">
      <c r="Q20" s="11"/>
      <c r="R20" s="11"/>
      <c r="S20" s="11"/>
      <c r="T20" s="11"/>
      <c r="U20" s="11"/>
    </row>
    <row r="21" spans="1:21" x14ac:dyDescent="0.25">
      <c r="Q21" s="11"/>
      <c r="R21" s="11"/>
      <c r="S21" s="11"/>
      <c r="T21" s="11"/>
      <c r="U21" s="11"/>
    </row>
    <row r="22" spans="1:21" x14ac:dyDescent="0.25">
      <c r="Q22" s="11" t="s">
        <v>211</v>
      </c>
      <c r="R22" s="11"/>
      <c r="S22" s="11"/>
      <c r="T22" s="11">
        <v>0.16400000000000001</v>
      </c>
      <c r="U22" s="11"/>
    </row>
    <row r="23" spans="1:21" x14ac:dyDescent="0.25">
      <c r="Q23" s="11" t="s">
        <v>213</v>
      </c>
      <c r="R23" s="11"/>
      <c r="S23" s="11"/>
      <c r="T23" s="11">
        <v>5.8999999999999997E-2</v>
      </c>
      <c r="U23" s="11"/>
    </row>
    <row r="24" spans="1:21" x14ac:dyDescent="0.25">
      <c r="Q24" s="11" t="s">
        <v>212</v>
      </c>
      <c r="R24" s="11"/>
      <c r="S24" s="11"/>
      <c r="T24" s="11">
        <f>0.149</f>
        <v>0.14899999999999999</v>
      </c>
      <c r="U24" s="11"/>
    </row>
    <row r="25" spans="1:21" x14ac:dyDescent="0.25">
      <c r="Q25" s="11"/>
      <c r="R25" s="11"/>
      <c r="S25" s="11"/>
      <c r="T25" s="11"/>
      <c r="U25" s="11"/>
    </row>
    <row r="26" spans="1:21" x14ac:dyDescent="0.25">
      <c r="Q26" s="11"/>
      <c r="R26" s="11"/>
      <c r="S26" s="11"/>
      <c r="T26" s="11"/>
      <c r="U26" s="11"/>
    </row>
    <row r="27" spans="1:21" x14ac:dyDescent="0.25">
      <c r="Q27" s="11" t="s">
        <v>214</v>
      </c>
      <c r="R27" s="11"/>
      <c r="S27" s="11"/>
      <c r="T27" s="11">
        <f>SUM(T28:T30)</f>
        <v>0</v>
      </c>
      <c r="U27" s="11"/>
    </row>
    <row r="28" spans="1:21" x14ac:dyDescent="0.25">
      <c r="Q28" s="11" t="s">
        <v>211</v>
      </c>
      <c r="R28" s="11"/>
      <c r="S28" s="11"/>
      <c r="T28" s="11">
        <f>IF(dati!C19=dropdownmenus!A10,misura1!T22,0)</f>
        <v>0</v>
      </c>
      <c r="U28" s="11"/>
    </row>
    <row r="29" spans="1:21" x14ac:dyDescent="0.25">
      <c r="Q29" s="11" t="s">
        <v>213</v>
      </c>
      <c r="R29" s="11"/>
      <c r="S29" s="11"/>
      <c r="T29" s="11">
        <f>IF(dati!C19=dropdownmenus!A11,misura1!T23,0)</f>
        <v>0</v>
      </c>
      <c r="U29" s="11"/>
    </row>
    <row r="30" spans="1:21" x14ac:dyDescent="0.25">
      <c r="Q30" s="11" t="s">
        <v>212</v>
      </c>
      <c r="R30" s="11"/>
      <c r="S30" s="11"/>
      <c r="T30" s="11">
        <f>IF(dati!C19=dropdownmenus!A12,misura1!T24,0)</f>
        <v>0</v>
      </c>
      <c r="U30" s="11"/>
    </row>
    <row r="31" spans="1:21" x14ac:dyDescent="0.25">
      <c r="Q31" s="11"/>
      <c r="R31" s="11"/>
      <c r="S31" s="11"/>
      <c r="T31" s="11"/>
      <c r="U31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T28" sqref="T28"/>
    </sheetView>
  </sheetViews>
  <sheetFormatPr defaultRowHeight="15" x14ac:dyDescent="0.25"/>
  <cols>
    <col min="1" max="1" width="12.42578125" customWidth="1"/>
    <col min="3" max="3" width="5" customWidth="1"/>
    <col min="4" max="4" width="11.85546875" customWidth="1"/>
    <col min="17" max="17" width="13" customWidth="1"/>
  </cols>
  <sheetData>
    <row r="1" spans="1:18" x14ac:dyDescent="0.25">
      <c r="A1" s="11"/>
    </row>
    <row r="2" spans="1:18" x14ac:dyDescent="0.25">
      <c r="A2" t="s">
        <v>162</v>
      </c>
      <c r="C2">
        <v>2</v>
      </c>
      <c r="E2" s="23" t="s">
        <v>46</v>
      </c>
      <c r="L2" t="s">
        <v>14</v>
      </c>
      <c r="Q2" s="1">
        <f>dati!C53</f>
        <v>0</v>
      </c>
      <c r="R2" t="s">
        <v>13</v>
      </c>
    </row>
    <row r="3" spans="1:18" x14ac:dyDescent="0.25">
      <c r="L3" t="s">
        <v>31</v>
      </c>
      <c r="Q3">
        <f>dati!C51*0.2</f>
        <v>0</v>
      </c>
      <c r="R3" t="s">
        <v>13</v>
      </c>
    </row>
    <row r="4" spans="1:18" x14ac:dyDescent="0.25">
      <c r="A4" s="11"/>
      <c r="B4" s="11"/>
      <c r="C4" s="11"/>
      <c r="D4" s="11"/>
      <c r="E4" s="11"/>
      <c r="F4" s="11"/>
      <c r="G4" s="11"/>
      <c r="H4" s="11"/>
      <c r="I4" s="11"/>
      <c r="L4" t="s">
        <v>82</v>
      </c>
      <c r="Q4">
        <f>dati!C54</f>
        <v>0</v>
      </c>
    </row>
    <row r="7" spans="1:18" x14ac:dyDescent="0.25">
      <c r="Q7" s="1"/>
    </row>
    <row r="8" spans="1:18" x14ac:dyDescent="0.25">
      <c r="Q8" s="1"/>
    </row>
    <row r="9" spans="1:18" x14ac:dyDescent="0.25">
      <c r="Q9" s="1"/>
    </row>
    <row r="16" spans="1:18" x14ac:dyDescent="0.25">
      <c r="A16" t="s">
        <v>1</v>
      </c>
      <c r="D16" s="14">
        <f>Q2*Q16+Q4*Q17</f>
        <v>0</v>
      </c>
      <c r="E16" t="s">
        <v>17</v>
      </c>
      <c r="L16" t="s">
        <v>79</v>
      </c>
      <c r="Q16" s="11">
        <v>6</v>
      </c>
      <c r="R16" t="s">
        <v>16</v>
      </c>
    </row>
    <row r="17" spans="1:18" x14ac:dyDescent="0.25">
      <c r="L17" t="s">
        <v>80</v>
      </c>
      <c r="Q17">
        <v>50</v>
      </c>
      <c r="R17" t="s">
        <v>81</v>
      </c>
    </row>
    <row r="18" spans="1:18" x14ac:dyDescent="0.25">
      <c r="A18" t="s">
        <v>1</v>
      </c>
      <c r="D18" s="5" t="e">
        <f>D16/dati!C8</f>
        <v>#DIV/0!</v>
      </c>
      <c r="E18" t="s">
        <v>15</v>
      </c>
      <c r="Q18" s="9"/>
    </row>
    <row r="21" spans="1:18" x14ac:dyDescent="0.25">
      <c r="A21" s="9" t="s">
        <v>29</v>
      </c>
      <c r="K21" t="str">
        <f>IF(Q3&gt;0,IF(Q2&gt;0,IF(Q2&gt;=Q3,"SI","NO"),"NO"),"NO")</f>
        <v>NO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topLeftCell="A7" workbookViewId="0">
      <selection activeCell="D16" sqref="D16"/>
    </sheetView>
  </sheetViews>
  <sheetFormatPr defaultRowHeight="15" x14ac:dyDescent="0.25"/>
  <cols>
    <col min="16" max="16" width="15.85546875" customWidth="1"/>
    <col min="20" max="20" width="12" bestFit="1" customWidth="1"/>
  </cols>
  <sheetData>
    <row r="2" spans="1:18" x14ac:dyDescent="0.25">
      <c r="A2" t="s">
        <v>163</v>
      </c>
      <c r="C2" s="22">
        <v>3</v>
      </c>
      <c r="D2" s="22"/>
      <c r="E2" s="22" t="s">
        <v>47</v>
      </c>
      <c r="F2" s="22"/>
      <c r="G2" s="22"/>
      <c r="H2" s="22"/>
      <c r="L2" t="s">
        <v>68</v>
      </c>
      <c r="Q2">
        <f>dati!C62</f>
        <v>0</v>
      </c>
      <c r="R2" s="9" t="s">
        <v>21</v>
      </c>
    </row>
    <row r="4" spans="1:18" x14ac:dyDescent="0.25">
      <c r="Q4" s="1"/>
    </row>
    <row r="14" spans="1:18" x14ac:dyDescent="0.25">
      <c r="A14" t="s">
        <v>1</v>
      </c>
      <c r="D14" s="2">
        <f>(Q2*Q14*Q16)</f>
        <v>0</v>
      </c>
      <c r="E14" t="s">
        <v>11</v>
      </c>
      <c r="L14" t="s">
        <v>2</v>
      </c>
      <c r="Q14" s="11">
        <f>misura1!S15</f>
        <v>0.43319999999999997</v>
      </c>
      <c r="R14" t="s">
        <v>22</v>
      </c>
    </row>
    <row r="16" spans="1:18" x14ac:dyDescent="0.25">
      <c r="A16" t="s">
        <v>1</v>
      </c>
      <c r="D16" s="5" t="e">
        <f>D14/dati!C8</f>
        <v>#DIV/0!</v>
      </c>
      <c r="E16" t="s">
        <v>15</v>
      </c>
      <c r="L16" s="9" t="s">
        <v>83</v>
      </c>
      <c r="Q16">
        <v>0.39</v>
      </c>
      <c r="R16" t="s">
        <v>168</v>
      </c>
    </row>
    <row r="19" spans="1:1" x14ac:dyDescent="0.25">
      <c r="A19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5"/>
  <sheetViews>
    <sheetView workbookViewId="0">
      <selection activeCell="T28" sqref="T28"/>
    </sheetView>
  </sheetViews>
  <sheetFormatPr defaultRowHeight="15" x14ac:dyDescent="0.25"/>
  <cols>
    <col min="12" max="12" width="57.7109375" customWidth="1"/>
    <col min="13" max="13" width="4.85546875" customWidth="1"/>
    <col min="14" max="14" width="4.7109375" customWidth="1"/>
    <col min="15" max="15" width="4.85546875" customWidth="1"/>
    <col min="16" max="16" width="8" bestFit="1" customWidth="1"/>
    <col min="17" max="17" width="10.85546875" customWidth="1"/>
    <col min="21" max="21" width="29.85546875" bestFit="1" customWidth="1"/>
    <col min="22" max="22" width="40.42578125" customWidth="1"/>
  </cols>
  <sheetData>
    <row r="4" spans="1:22" ht="45.75" thickBot="1" x14ac:dyDescent="0.3">
      <c r="A4" t="s">
        <v>162</v>
      </c>
      <c r="C4" s="22">
        <v>4</v>
      </c>
      <c r="E4" s="22" t="s">
        <v>49</v>
      </c>
      <c r="L4" s="4" t="s">
        <v>38</v>
      </c>
      <c r="P4">
        <f>dati!C69</f>
        <v>0</v>
      </c>
      <c r="Q4" s="7" t="s">
        <v>20</v>
      </c>
      <c r="U4" s="24"/>
    </row>
    <row r="5" spans="1:22" ht="29.25" thickBot="1" x14ac:dyDescent="0.3">
      <c r="U5" s="25" t="s">
        <v>50</v>
      </c>
      <c r="V5" s="26" t="s">
        <v>51</v>
      </c>
    </row>
    <row r="6" spans="1:22" ht="30.75" thickBot="1" x14ac:dyDescent="0.3">
      <c r="L6" s="4" t="s">
        <v>39</v>
      </c>
      <c r="P6">
        <f>dati!C71</f>
        <v>0</v>
      </c>
      <c r="Q6" s="7" t="s">
        <v>20</v>
      </c>
      <c r="U6" s="27" t="s">
        <v>52</v>
      </c>
      <c r="V6" s="28" t="s">
        <v>53</v>
      </c>
    </row>
    <row r="7" spans="1:22" ht="15.75" thickBot="1" x14ac:dyDescent="0.3">
      <c r="U7" s="27" t="s">
        <v>54</v>
      </c>
      <c r="V7" s="28" t="s">
        <v>55</v>
      </c>
    </row>
    <row r="8" spans="1:22" ht="15.75" thickBot="1" x14ac:dyDescent="0.3">
      <c r="L8" t="s">
        <v>37</v>
      </c>
      <c r="P8">
        <f>P4*0.2</f>
        <v>0</v>
      </c>
      <c r="Q8" s="7" t="s">
        <v>20</v>
      </c>
      <c r="U8" s="27" t="s">
        <v>56</v>
      </c>
      <c r="V8" s="28" t="s">
        <v>55</v>
      </c>
    </row>
    <row r="9" spans="1:22" ht="15.75" thickBot="1" x14ac:dyDescent="0.3">
      <c r="U9" s="27" t="s">
        <v>57</v>
      </c>
      <c r="V9" s="28" t="s">
        <v>58</v>
      </c>
    </row>
    <row r="10" spans="1:22" x14ac:dyDescent="0.25">
      <c r="L10" s="9" t="s">
        <v>40</v>
      </c>
      <c r="P10">
        <f>P4-P6</f>
        <v>0</v>
      </c>
      <c r="Q10" s="7" t="s">
        <v>20</v>
      </c>
    </row>
    <row r="11" spans="1:22" ht="15.75" thickBot="1" x14ac:dyDescent="0.3">
      <c r="U11" s="24" t="s">
        <v>59</v>
      </c>
    </row>
    <row r="12" spans="1:22" ht="29.25" thickBot="1" x14ac:dyDescent="0.3">
      <c r="U12" s="25" t="s">
        <v>64</v>
      </c>
      <c r="V12" s="26" t="s">
        <v>51</v>
      </c>
    </row>
    <row r="13" spans="1:22" ht="15.75" thickBot="1" x14ac:dyDescent="0.3">
      <c r="U13" s="27" t="s">
        <v>60</v>
      </c>
      <c r="V13" s="28" t="s">
        <v>53</v>
      </c>
    </row>
    <row r="14" spans="1:22" x14ac:dyDescent="0.25">
      <c r="A14" t="s">
        <v>1</v>
      </c>
      <c r="D14" s="2">
        <f>(P4-P6)*P21*(P14+P15)</f>
        <v>0</v>
      </c>
      <c r="E14" t="s">
        <v>11</v>
      </c>
      <c r="L14" t="s">
        <v>83</v>
      </c>
      <c r="P14">
        <v>0.39</v>
      </c>
      <c r="Q14" t="s">
        <v>169</v>
      </c>
      <c r="U14" s="94" t="s">
        <v>61</v>
      </c>
      <c r="V14" s="30" t="s">
        <v>62</v>
      </c>
    </row>
    <row r="15" spans="1:22" x14ac:dyDescent="0.25">
      <c r="L15" t="s">
        <v>84</v>
      </c>
      <c r="P15">
        <v>0.33</v>
      </c>
      <c r="Q15" s="9" t="s">
        <v>169</v>
      </c>
      <c r="U15" s="95"/>
      <c r="V15" s="30" t="s">
        <v>63</v>
      </c>
    </row>
    <row r="16" spans="1:22" ht="15.75" thickBot="1" x14ac:dyDescent="0.3">
      <c r="A16" t="s">
        <v>1</v>
      </c>
      <c r="D16" s="2" t="e">
        <f>D14/dati!C8</f>
        <v>#DIV/0!</v>
      </c>
      <c r="E16" t="s">
        <v>16</v>
      </c>
      <c r="U16" s="96"/>
      <c r="V16" s="28"/>
    </row>
    <row r="18" spans="1:21" s="9" customFormat="1" x14ac:dyDescent="0.25"/>
    <row r="19" spans="1:21" s="9" customFormat="1" x14ac:dyDescent="0.25"/>
    <row r="20" spans="1:21" s="9" customFormat="1" x14ac:dyDescent="0.25"/>
    <row r="21" spans="1:21" s="9" customFormat="1" x14ac:dyDescent="0.25">
      <c r="L21" t="s">
        <v>2</v>
      </c>
      <c r="M21"/>
      <c r="N21"/>
      <c r="O21"/>
      <c r="P21" s="11">
        <f>misura1!S15</f>
        <v>0.43319999999999997</v>
      </c>
      <c r="Q21" t="s">
        <v>22</v>
      </c>
    </row>
    <row r="24" spans="1:21" x14ac:dyDescent="0.25">
      <c r="A24" s="9" t="s">
        <v>29</v>
      </c>
      <c r="K24" t="str">
        <f>IF(P4&gt;0,IF(P6&gt;0,IF(P10&gt;=P8,"SI","NO"),"NO"),"NO")</f>
        <v>NO</v>
      </c>
    </row>
    <row r="25" spans="1:21" x14ac:dyDescent="0.25">
      <c r="U25" s="29"/>
    </row>
  </sheetData>
  <mergeCells count="1">
    <mergeCell ref="U14:U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17"/>
  <sheetViews>
    <sheetView workbookViewId="0">
      <selection activeCell="T28" sqref="T28"/>
    </sheetView>
  </sheetViews>
  <sheetFormatPr defaultRowHeight="15" x14ac:dyDescent="0.25"/>
  <cols>
    <col min="4" max="4" width="83" customWidth="1"/>
    <col min="12" max="12" width="36.42578125" customWidth="1"/>
    <col min="17" max="17" width="16" customWidth="1"/>
    <col min="19" max="19" width="21.85546875" customWidth="1"/>
  </cols>
  <sheetData>
    <row r="4" spans="1:22" x14ac:dyDescent="0.25">
      <c r="A4" t="s">
        <v>162</v>
      </c>
      <c r="C4" s="22">
        <v>5</v>
      </c>
      <c r="D4" s="22"/>
      <c r="E4" s="22" t="s">
        <v>65</v>
      </c>
      <c r="F4" s="22"/>
      <c r="L4" s="17"/>
      <c r="M4" s="33"/>
      <c r="N4" s="17"/>
      <c r="O4" s="17"/>
      <c r="P4" s="17"/>
      <c r="Q4" s="17"/>
      <c r="R4" s="17"/>
      <c r="S4" s="17"/>
      <c r="T4" s="17"/>
      <c r="U4" s="17"/>
      <c r="V4" s="17"/>
    </row>
    <row r="5" spans="1:22" x14ac:dyDescent="0.25">
      <c r="L5" s="17"/>
      <c r="M5" s="33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t="s">
        <v>91</v>
      </c>
      <c r="E6" s="13">
        <f>dati!C80</f>
        <v>0</v>
      </c>
      <c r="I6" t="s">
        <v>87</v>
      </c>
      <c r="J6" s="34">
        <f>0.05</f>
        <v>0.05</v>
      </c>
      <c r="L6" s="17"/>
      <c r="M6" s="33"/>
      <c r="N6" s="17"/>
      <c r="O6" s="17"/>
      <c r="P6" s="17"/>
      <c r="Q6" s="17"/>
      <c r="R6" s="17"/>
      <c r="S6" s="17"/>
      <c r="T6" s="17"/>
      <c r="U6" s="17"/>
      <c r="V6" s="17"/>
    </row>
    <row r="7" spans="1:22" x14ac:dyDescent="0.25">
      <c r="L7" s="17"/>
      <c r="M7" s="33"/>
      <c r="N7" s="17"/>
      <c r="O7" s="17"/>
      <c r="P7" s="18"/>
      <c r="Q7" s="17"/>
      <c r="R7" s="17"/>
      <c r="S7" s="18"/>
      <c r="T7" s="17"/>
      <c r="U7" s="17"/>
      <c r="V7" s="17"/>
    </row>
    <row r="8" spans="1:22" x14ac:dyDescent="0.25">
      <c r="A8" s="11"/>
      <c r="B8" s="11"/>
      <c r="C8" s="11"/>
      <c r="D8" s="11"/>
      <c r="E8" s="11"/>
      <c r="F8" s="11"/>
      <c r="G8" s="11"/>
      <c r="L8" s="17"/>
      <c r="M8" s="33"/>
      <c r="N8" s="17"/>
      <c r="O8" s="17"/>
      <c r="P8" s="19"/>
      <c r="Q8" s="20"/>
      <c r="R8" s="17"/>
      <c r="S8" s="19"/>
      <c r="T8" s="20"/>
      <c r="U8" s="17"/>
      <c r="V8" s="17"/>
    </row>
    <row r="9" spans="1:22" x14ac:dyDescent="0.25">
      <c r="A9" s="11"/>
      <c r="B9" s="11"/>
      <c r="C9" s="11"/>
      <c r="D9" s="11"/>
      <c r="E9" s="11"/>
      <c r="F9" s="11"/>
      <c r="G9" s="11"/>
      <c r="L9" s="17"/>
      <c r="M9" s="33"/>
      <c r="N9" s="17"/>
      <c r="O9" s="17"/>
      <c r="P9" s="19"/>
      <c r="Q9" s="19"/>
      <c r="R9" s="17"/>
      <c r="S9" s="19"/>
      <c r="T9" s="19"/>
      <c r="U9" s="17"/>
      <c r="V9" s="17"/>
    </row>
    <row r="10" spans="1:22" x14ac:dyDescent="0.25">
      <c r="A10" s="11"/>
      <c r="B10" s="11"/>
      <c r="C10" s="11"/>
      <c r="D10" s="11"/>
      <c r="E10" s="11"/>
      <c r="F10" s="11"/>
      <c r="G10" s="11"/>
      <c r="L10" s="17"/>
      <c r="M10" s="33"/>
      <c r="N10" s="17"/>
      <c r="O10" s="17"/>
      <c r="P10" s="18"/>
      <c r="Q10" s="19"/>
      <c r="R10" s="17"/>
      <c r="S10" s="18"/>
      <c r="T10" s="19"/>
      <c r="U10" s="17"/>
      <c r="V10" s="17"/>
    </row>
    <row r="11" spans="1:22" x14ac:dyDescent="0.25">
      <c r="L11" s="17"/>
      <c r="M11" s="33"/>
      <c r="N11" s="17"/>
      <c r="O11" s="17"/>
      <c r="P11" s="18"/>
      <c r="Q11" s="19"/>
      <c r="R11" s="17"/>
      <c r="S11" s="18"/>
      <c r="T11" s="19"/>
      <c r="U11" s="17"/>
      <c r="V11" s="17"/>
    </row>
    <row r="12" spans="1:22" x14ac:dyDescent="0.25">
      <c r="A12" t="s">
        <v>1</v>
      </c>
      <c r="D12" s="2" t="e">
        <f>misura1!M5*misura5!J6</f>
        <v>#DIV/0!</v>
      </c>
      <c r="E12" t="s">
        <v>15</v>
      </c>
      <c r="L12" s="17"/>
      <c r="M12" s="17"/>
      <c r="N12" s="17"/>
      <c r="O12" s="17"/>
      <c r="P12" s="18"/>
      <c r="Q12" s="19"/>
      <c r="R12" s="17"/>
      <c r="S12" s="21"/>
      <c r="T12" s="19"/>
      <c r="U12" s="17"/>
      <c r="V12" s="17"/>
    </row>
    <row r="13" spans="1:22" x14ac:dyDescent="0.25">
      <c r="L13" s="17"/>
      <c r="M13" s="17"/>
      <c r="N13" s="17"/>
      <c r="O13" s="17"/>
      <c r="P13" s="18"/>
      <c r="Q13" s="19"/>
      <c r="R13" s="17"/>
      <c r="S13" s="18"/>
      <c r="T13" s="19"/>
      <c r="U13" s="17"/>
      <c r="V13" s="17"/>
    </row>
    <row r="14" spans="1:22" x14ac:dyDescent="0.25"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25"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25"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2:22" x14ac:dyDescent="0.25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workbookViewId="0">
      <selection activeCell="T28" sqref="T28"/>
    </sheetView>
  </sheetViews>
  <sheetFormatPr defaultRowHeight="15" x14ac:dyDescent="0.25"/>
  <cols>
    <col min="16" max="16" width="25.85546875" customWidth="1"/>
  </cols>
  <sheetData>
    <row r="2" spans="1:18" x14ac:dyDescent="0.25">
      <c r="A2" t="s">
        <v>163</v>
      </c>
      <c r="C2">
        <v>6</v>
      </c>
      <c r="E2" t="s">
        <v>3</v>
      </c>
      <c r="L2" t="s">
        <v>32</v>
      </c>
      <c r="Q2" s="1">
        <f>dati!C94</f>
        <v>0</v>
      </c>
      <c r="R2" t="s">
        <v>13</v>
      </c>
    </row>
    <row r="3" spans="1:18" x14ac:dyDescent="0.25">
      <c r="L3" t="s">
        <v>48</v>
      </c>
      <c r="Q3">
        <f>dati!C88*0.5</f>
        <v>0</v>
      </c>
      <c r="R3" s="9" t="s">
        <v>13</v>
      </c>
    </row>
    <row r="4" spans="1:18" x14ac:dyDescent="0.25">
      <c r="L4" t="s">
        <v>33</v>
      </c>
      <c r="Q4" s="1">
        <f>(Q8*0.08*dati!C8)/Q6</f>
        <v>0</v>
      </c>
      <c r="R4" t="s">
        <v>24</v>
      </c>
    </row>
    <row r="5" spans="1:18" x14ac:dyDescent="0.25">
      <c r="Q5" s="1"/>
    </row>
    <row r="6" spans="1:18" x14ac:dyDescent="0.25">
      <c r="L6" t="s">
        <v>177</v>
      </c>
      <c r="Q6" s="1">
        <v>3</v>
      </c>
    </row>
    <row r="7" spans="1:18" x14ac:dyDescent="0.25">
      <c r="Q7" s="1"/>
    </row>
    <row r="8" spans="1:18" x14ac:dyDescent="0.25">
      <c r="F8" s="9"/>
      <c r="G8" s="9"/>
      <c r="H8" s="9"/>
      <c r="I8" s="9"/>
      <c r="J8" s="9"/>
      <c r="K8" s="9"/>
      <c r="L8" s="9" t="s">
        <v>45</v>
      </c>
      <c r="Q8" s="11">
        <f>dati!C96</f>
        <v>0</v>
      </c>
      <c r="R8" s="9" t="s">
        <v>28</v>
      </c>
    </row>
    <row r="9" spans="1:18" x14ac:dyDescent="0.25">
      <c r="Q9" s="1"/>
    </row>
    <row r="10" spans="1:18" x14ac:dyDescent="0.25">
      <c r="Q10" s="1"/>
    </row>
    <row r="11" spans="1:18" x14ac:dyDescent="0.25">
      <c r="Q11" s="1"/>
    </row>
    <row r="12" spans="1:18" x14ac:dyDescent="0.25">
      <c r="Q12" s="1"/>
    </row>
    <row r="17" spans="1:18" x14ac:dyDescent="0.25">
      <c r="A17" t="s">
        <v>1</v>
      </c>
      <c r="D17" s="2">
        <f>Q4*Q17</f>
        <v>0</v>
      </c>
      <c r="E17" t="s">
        <v>23</v>
      </c>
      <c r="L17" t="s">
        <v>2</v>
      </c>
      <c r="Q17" s="11">
        <f>misura1!S15</f>
        <v>0.43319999999999997</v>
      </c>
      <c r="R17" t="s">
        <v>22</v>
      </c>
    </row>
    <row r="19" spans="1:18" x14ac:dyDescent="0.25">
      <c r="A19" t="s">
        <v>1</v>
      </c>
      <c r="D19" s="5" t="e">
        <f>D17/dati!C8</f>
        <v>#DIV/0!</v>
      </c>
      <c r="E19" t="s">
        <v>15</v>
      </c>
    </row>
    <row r="22" spans="1:18" x14ac:dyDescent="0.25">
      <c r="A22" s="9" t="s">
        <v>29</v>
      </c>
      <c r="K22" t="str">
        <f>IF(Q2&gt;0,IF(Q3&gt;0,IF(Q2&gt;=Q3,"SI","NO"),"NO"),"NO")</f>
        <v>NO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3"/>
  <sheetViews>
    <sheetView zoomScale="84" zoomScaleNormal="84" workbookViewId="0">
      <selection activeCell="T28" sqref="T28"/>
    </sheetView>
  </sheetViews>
  <sheetFormatPr defaultRowHeight="15" x14ac:dyDescent="0.25"/>
  <cols>
    <col min="16" max="16" width="19.140625" customWidth="1"/>
  </cols>
  <sheetData>
    <row r="2" spans="1:18" x14ac:dyDescent="0.25">
      <c r="A2" t="s">
        <v>0</v>
      </c>
      <c r="C2">
        <v>7</v>
      </c>
      <c r="E2" t="s">
        <v>10</v>
      </c>
      <c r="L2" t="s">
        <v>35</v>
      </c>
      <c r="Q2" s="1">
        <f>dati!C104</f>
        <v>0</v>
      </c>
      <c r="R2" t="s">
        <v>13</v>
      </c>
    </row>
    <row r="3" spans="1:18" x14ac:dyDescent="0.25">
      <c r="L3" t="s">
        <v>178</v>
      </c>
      <c r="Q3">
        <f>0.75*dati!C103</f>
        <v>0</v>
      </c>
      <c r="R3" s="9" t="s">
        <v>13</v>
      </c>
    </row>
    <row r="4" spans="1:18" x14ac:dyDescent="0.25">
      <c r="L4" t="s">
        <v>33</v>
      </c>
      <c r="Q4" s="1">
        <f>(Q7*0.04*dati!C8)/Q9</f>
        <v>0</v>
      </c>
      <c r="R4" t="s">
        <v>36</v>
      </c>
    </row>
    <row r="5" spans="1:18" x14ac:dyDescent="0.25">
      <c r="Q5" s="1"/>
    </row>
    <row r="6" spans="1:18" x14ac:dyDescent="0.25">
      <c r="Q6" s="1"/>
    </row>
    <row r="7" spans="1:18" x14ac:dyDescent="0.25">
      <c r="L7" s="9" t="s">
        <v>27</v>
      </c>
      <c r="M7" s="9"/>
      <c r="N7" s="9"/>
      <c r="O7" s="9"/>
      <c r="P7" s="9"/>
      <c r="Q7" s="11">
        <f>dati!C106</f>
        <v>0</v>
      </c>
      <c r="R7" s="9" t="s">
        <v>28</v>
      </c>
    </row>
    <row r="8" spans="1:18" x14ac:dyDescent="0.25">
      <c r="Q8" s="1"/>
    </row>
    <row r="9" spans="1:18" x14ac:dyDescent="0.25">
      <c r="L9" t="s">
        <v>179</v>
      </c>
      <c r="Q9" s="1">
        <v>3</v>
      </c>
    </row>
    <row r="10" spans="1:18" x14ac:dyDescent="0.25">
      <c r="Q10" s="1"/>
    </row>
    <row r="11" spans="1:18" x14ac:dyDescent="0.25">
      <c r="Q11" s="1"/>
    </row>
    <row r="12" spans="1:18" x14ac:dyDescent="0.25">
      <c r="Q12" s="1"/>
    </row>
    <row r="17" spans="1:18" x14ac:dyDescent="0.25">
      <c r="A17" t="s">
        <v>1</v>
      </c>
      <c r="D17" s="2">
        <f>Q4*Q17</f>
        <v>0</v>
      </c>
      <c r="E17" s="9" t="s">
        <v>11</v>
      </c>
      <c r="L17" t="s">
        <v>2</v>
      </c>
      <c r="Q17" s="11">
        <v>0.43319999999999997</v>
      </c>
      <c r="R17" t="s">
        <v>22</v>
      </c>
    </row>
    <row r="19" spans="1:18" x14ac:dyDescent="0.25">
      <c r="A19" t="s">
        <v>1</v>
      </c>
      <c r="D19" s="5" t="e">
        <f>D17/dati!C8</f>
        <v>#DIV/0!</v>
      </c>
      <c r="E19" t="s">
        <v>15</v>
      </c>
    </row>
    <row r="23" spans="1:18" x14ac:dyDescent="0.25">
      <c r="A23" s="9" t="s">
        <v>29</v>
      </c>
      <c r="K23" t="str">
        <f>IF(Q3&gt;0,IF(Q2&gt;0,IF(Q2&gt;=Q3,"SI","NO"),"NO"),"NO")</f>
        <v>NO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topLeftCell="A16" workbookViewId="0">
      <selection activeCell="T28" sqref="T28"/>
    </sheetView>
  </sheetViews>
  <sheetFormatPr defaultRowHeight="15" x14ac:dyDescent="0.25"/>
  <cols>
    <col min="1" max="1" width="91.140625" style="48" customWidth="1"/>
    <col min="2" max="2" width="7.85546875" customWidth="1"/>
    <col min="3" max="3" width="31" customWidth="1"/>
    <col min="4" max="4" width="14.85546875" customWidth="1"/>
    <col min="8" max="8" width="25.5703125" customWidth="1"/>
    <col min="15" max="15" width="19.85546875" customWidth="1"/>
    <col min="16" max="16" width="27" customWidth="1"/>
  </cols>
  <sheetData>
    <row r="1" spans="1:37" s="9" customFormat="1" x14ac:dyDescent="0.25">
      <c r="A1" s="48" t="s">
        <v>164</v>
      </c>
      <c r="B1"/>
      <c r="C1" s="22">
        <v>8</v>
      </c>
    </row>
    <row r="2" spans="1:37" s="9" customFormat="1" x14ac:dyDescent="0.25">
      <c r="A2" s="48"/>
    </row>
    <row r="3" spans="1:37" s="9" customFormat="1" x14ac:dyDescent="0.25">
      <c r="A3" s="22" t="s">
        <v>123</v>
      </c>
      <c r="B3" s="11"/>
      <c r="C3" s="11"/>
      <c r="D3" s="11"/>
      <c r="E3" s="11"/>
      <c r="F3" s="11"/>
      <c r="G3" s="11"/>
      <c r="H3" s="11"/>
      <c r="I3" s="9" t="s">
        <v>2</v>
      </c>
      <c r="N3" s="3">
        <v>204</v>
      </c>
      <c r="O3" s="9" t="s">
        <v>125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x14ac:dyDescent="0.25">
      <c r="A4" s="49"/>
      <c r="B4" s="11"/>
      <c r="C4" s="11"/>
      <c r="D4" s="11"/>
      <c r="E4" s="11"/>
      <c r="F4" s="11"/>
      <c r="G4" s="11"/>
      <c r="H4" s="11"/>
      <c r="I4" s="9" t="s">
        <v>126</v>
      </c>
      <c r="J4" s="9"/>
      <c r="K4" s="9"/>
      <c r="L4" s="9"/>
      <c r="M4" s="9"/>
      <c r="N4" s="9">
        <v>1.2</v>
      </c>
      <c r="O4" s="9" t="s">
        <v>127</v>
      </c>
      <c r="P4" s="9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45" x14ac:dyDescent="0.25">
      <c r="A5" s="51" t="s">
        <v>181</v>
      </c>
      <c r="B5" s="11"/>
      <c r="C5" s="11">
        <f>dati!C115</f>
        <v>0</v>
      </c>
      <c r="D5" s="50"/>
      <c r="E5" s="50"/>
      <c r="F5" s="11"/>
      <c r="G5" s="11"/>
      <c r="H5" s="11"/>
      <c r="I5" s="11" t="s">
        <v>128</v>
      </c>
      <c r="J5" s="11"/>
      <c r="K5" s="11"/>
      <c r="L5" s="11"/>
      <c r="M5" s="11"/>
      <c r="N5" s="11">
        <v>4</v>
      </c>
      <c r="O5" s="11" t="s">
        <v>13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x14ac:dyDescent="0.25">
      <c r="A6" s="49"/>
      <c r="B6" s="11"/>
      <c r="C6" s="11"/>
      <c r="D6" s="11"/>
      <c r="E6" s="11"/>
      <c r="F6" s="11"/>
      <c r="G6" s="11"/>
      <c r="H6" s="11"/>
      <c r="I6" s="11" t="s">
        <v>129</v>
      </c>
      <c r="J6" s="11"/>
      <c r="K6" s="11"/>
      <c r="L6" s="11"/>
      <c r="M6" s="11"/>
      <c r="N6" s="11">
        <v>8</v>
      </c>
      <c r="O6" s="11" t="s">
        <v>130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x14ac:dyDescent="0.25">
      <c r="A7" s="49"/>
      <c r="B7" s="11"/>
      <c r="C7" s="11"/>
      <c r="D7" s="11"/>
      <c r="E7" s="11"/>
      <c r="F7" s="11"/>
      <c r="G7" s="11"/>
      <c r="H7" s="11"/>
      <c r="I7" s="11" t="s">
        <v>131</v>
      </c>
      <c r="J7" s="11"/>
      <c r="K7" s="11"/>
      <c r="L7" s="11"/>
      <c r="M7" s="11"/>
      <c r="N7" s="11">
        <v>250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x14ac:dyDescent="0.25">
      <c r="A8" s="41" t="s">
        <v>113</v>
      </c>
      <c r="B8" s="11"/>
      <c r="C8" s="11">
        <f>dati!C119</f>
        <v>0</v>
      </c>
      <c r="D8" s="9" t="s">
        <v>21</v>
      </c>
      <c r="E8" s="11"/>
      <c r="F8" s="11"/>
      <c r="G8" s="11"/>
      <c r="H8" s="11"/>
      <c r="I8" s="11" t="s">
        <v>132</v>
      </c>
      <c r="J8" s="11"/>
      <c r="K8" s="11"/>
      <c r="L8" s="11"/>
      <c r="M8" s="11"/>
      <c r="N8" s="11">
        <v>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x14ac:dyDescent="0.25">
      <c r="A9" s="41" t="s">
        <v>201</v>
      </c>
      <c r="B9" s="11"/>
      <c r="C9" s="11">
        <f>C8*0.1</f>
        <v>0</v>
      </c>
      <c r="D9" s="9" t="s">
        <v>13</v>
      </c>
      <c r="E9" s="11"/>
      <c r="F9" s="11"/>
      <c r="G9" s="11"/>
      <c r="H9" s="11"/>
      <c r="I9" s="11" t="s">
        <v>182</v>
      </c>
      <c r="J9" s="11"/>
      <c r="K9" s="11"/>
      <c r="L9" s="11"/>
      <c r="M9" s="11"/>
      <c r="N9" s="11">
        <f>ROUNDDOWN((C11/N5),0)</f>
        <v>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x14ac:dyDescent="0.25">
      <c r="A10" s="6" t="s">
        <v>121</v>
      </c>
      <c r="B10" s="11"/>
      <c r="C10" s="11">
        <f>dati!C121</f>
        <v>0</v>
      </c>
      <c r="D10" s="9" t="s">
        <v>13</v>
      </c>
      <c r="E10" s="11"/>
      <c r="F10" s="11"/>
      <c r="G10" s="11"/>
      <c r="H10" s="11"/>
      <c r="I10" s="11" t="s">
        <v>133</v>
      </c>
      <c r="J10" s="11"/>
      <c r="K10" s="11"/>
      <c r="L10" s="11"/>
      <c r="M10" s="11"/>
      <c r="N10" s="53">
        <v>0.15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x14ac:dyDescent="0.25">
      <c r="A11" s="6" t="s">
        <v>122</v>
      </c>
      <c r="B11" s="11"/>
      <c r="C11" s="11">
        <f>dati!C122</f>
        <v>0</v>
      </c>
      <c r="D11" s="9" t="s">
        <v>13</v>
      </c>
      <c r="E11" s="11"/>
      <c r="F11" s="11"/>
      <c r="G11" s="11"/>
      <c r="H11" s="11"/>
      <c r="I11" s="11" t="s">
        <v>134</v>
      </c>
      <c r="J11" s="11"/>
      <c r="K11" s="11"/>
      <c r="L11" s="11"/>
      <c r="M11" s="11"/>
      <c r="N11" s="53">
        <v>0.05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x14ac:dyDescent="0.25">
      <c r="A12" s="6" t="s">
        <v>108</v>
      </c>
      <c r="B12" s="11"/>
      <c r="C12" s="11">
        <f>dati!C123</f>
        <v>0</v>
      </c>
      <c r="D12" s="9" t="s">
        <v>12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9" customFormat="1" x14ac:dyDescent="0.25">
      <c r="A13" s="6"/>
      <c r="B13" s="11"/>
      <c r="C13" s="11"/>
      <c r="E13" s="11"/>
      <c r="F13" s="11"/>
      <c r="G13" s="11"/>
      <c r="H13" s="11"/>
      <c r="I13" s="11" t="s">
        <v>138</v>
      </c>
      <c r="J13" s="11"/>
      <c r="K13" s="11"/>
      <c r="L13" s="11"/>
      <c r="M13" s="11"/>
      <c r="N13" s="53">
        <v>0.5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customHeight="1" x14ac:dyDescent="0.25">
      <c r="A14" s="6" t="s">
        <v>106</v>
      </c>
      <c r="B14" s="11"/>
      <c r="C14" s="11">
        <f>dati!C124</f>
        <v>0</v>
      </c>
      <c r="D14" s="9" t="s">
        <v>12</v>
      </c>
      <c r="E14" s="11"/>
      <c r="F14" s="11"/>
      <c r="G14" s="11"/>
      <c r="H14" s="11"/>
      <c r="I14" s="11" t="s">
        <v>139</v>
      </c>
      <c r="J14" s="11"/>
      <c r="K14" s="11"/>
      <c r="L14" s="11"/>
      <c r="M14" s="11"/>
      <c r="N14" s="53">
        <v>0.05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s="9" customFormat="1" ht="15.75" customHeight="1" x14ac:dyDescent="0.25">
      <c r="A15" s="6"/>
      <c r="B15" s="11"/>
      <c r="C15" s="11"/>
      <c r="E15" s="11"/>
      <c r="F15" s="11"/>
      <c r="G15" s="11"/>
      <c r="H15" s="11"/>
      <c r="I15" s="11" t="s">
        <v>158</v>
      </c>
      <c r="J15" s="11"/>
      <c r="K15" s="11"/>
      <c r="L15" s="11"/>
      <c r="M15" s="11"/>
      <c r="N15" s="11">
        <f>ROUNDUP((C12*N13),0)</f>
        <v>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x14ac:dyDescent="0.25">
      <c r="A16" s="4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x14ac:dyDescent="0.25">
      <c r="A17" s="9" t="s">
        <v>29</v>
      </c>
      <c r="B17" s="11"/>
      <c r="C17" s="11" t="str">
        <f>IF((D18+D19)=1,"si","no")</f>
        <v>no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9" customFormat="1" x14ac:dyDescent="0.25">
      <c r="A18" s="6" t="s">
        <v>170</v>
      </c>
      <c r="B18" s="11"/>
      <c r="C18" s="11" t="str">
        <f>IF(C10&gt;=500,IF((C10)&lt;=(C9+50),"si","no"),"n.a.")</f>
        <v>n.a.</v>
      </c>
      <c r="D18" s="11">
        <f>IF($C$5="si",IF(C18="si",1,0),0)</f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s="9" customFormat="1" x14ac:dyDescent="0.25">
      <c r="A19" s="6" t="s">
        <v>171</v>
      </c>
      <c r="B19" s="11"/>
      <c r="C19" s="11" t="str">
        <f>IF(C10&lt;500,IF((C10)&lt;=(C9*1.1),"si","no"),"n.a.")</f>
        <v>si</v>
      </c>
      <c r="D19" s="11">
        <f>IF($C$5="si",IF(C19="si",1,0),0)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9" customFormat="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s="9" customFormat="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s="9" customFormat="1" x14ac:dyDescent="0.25">
      <c r="A22" s="9" t="s">
        <v>124</v>
      </c>
      <c r="B22" s="11" t="str">
        <f>IF(C17="si",IF(I22="si",N9*N11*N7*N6*N8*N3/N4/10^3,"0"),"0")</f>
        <v>0</v>
      </c>
      <c r="C22" s="11" t="s">
        <v>135</v>
      </c>
      <c r="D22" s="11" t="e">
        <f>B22/dati!C8</f>
        <v>#DIV/0!</v>
      </c>
      <c r="E22" s="11" t="s">
        <v>136</v>
      </c>
      <c r="F22" s="11"/>
      <c r="G22" s="11"/>
      <c r="H22" s="11" t="s">
        <v>145</v>
      </c>
      <c r="I22" s="11" t="str">
        <f>IF(C17="si",IF(C11&gt;=N10*C10,"si","no"),"no")</f>
        <v>no</v>
      </c>
      <c r="J22" s="11">
        <f>IF(I22="no",0,1)</f>
        <v>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s="9" customFormat="1" x14ac:dyDescent="0.25">
      <c r="A23" s="9" t="s">
        <v>137</v>
      </c>
      <c r="B23" s="11" t="str">
        <f>IF(C17="si",IF(I23="si",misura1!M5*dati!C8*N14,"0"),"0")</f>
        <v>0</v>
      </c>
      <c r="C23" s="11" t="s">
        <v>135</v>
      </c>
      <c r="D23" s="11" t="e">
        <f>B23/dati!C8</f>
        <v>#DIV/0!</v>
      </c>
      <c r="E23" s="11" t="s">
        <v>136</v>
      </c>
      <c r="F23" s="11"/>
      <c r="G23" s="11"/>
      <c r="H23" s="11" t="s">
        <v>146</v>
      </c>
      <c r="I23" s="11" t="str">
        <f>IF(N15&gt;0,IF(C17="si",IF((C14)&gt;=N15,"si","no"),"no"),"no")</f>
        <v>no</v>
      </c>
      <c r="J23" s="11">
        <f>IF(I23="no",0,1)</f>
        <v>0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9" customFormat="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9" customFormat="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s="9" customFormat="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ht="30" x14ac:dyDescent="0.25">
      <c r="A27" s="51" t="s">
        <v>183</v>
      </c>
      <c r="B27" s="11"/>
      <c r="C27" s="11" t="str">
        <f>IF(dati!C115="si","no","si")</f>
        <v>si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x14ac:dyDescent="0.25">
      <c r="A28" s="4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ht="30" x14ac:dyDescent="0.25">
      <c r="A29" s="49" t="s">
        <v>142</v>
      </c>
      <c r="B29" s="11"/>
      <c r="C29" s="11">
        <f>dati!C127</f>
        <v>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x14ac:dyDescent="0.25">
      <c r="A30" s="47" t="s">
        <v>117</v>
      </c>
      <c r="B30" s="11"/>
      <c r="C30" s="11">
        <f>dati!C128</f>
        <v>0</v>
      </c>
      <c r="D30" t="s">
        <v>13</v>
      </c>
      <c r="E30" s="11" t="s">
        <v>159</v>
      </c>
      <c r="F30" s="11">
        <f>ROUNDDOWN(C30/N5,0)</f>
        <v>0</v>
      </c>
      <c r="G30" s="11"/>
      <c r="H30" s="11" t="s">
        <v>148</v>
      </c>
      <c r="I30" s="11" t="str">
        <f>IF(C27="si",IF(C29="no","si","no"),"no")</f>
        <v>no</v>
      </c>
      <c r="J30" s="11">
        <f t="shared" ref="J30" si="0">IF(I30="no",0,1)</f>
        <v>0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s="9" customFormat="1" x14ac:dyDescent="0.25">
      <c r="A31" s="4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s="9" customFormat="1" x14ac:dyDescent="0.25">
      <c r="A32" s="9" t="s">
        <v>124</v>
      </c>
      <c r="B32" s="11">
        <f>IF(I30="si",F30*N6*N7*N8*N11*N3/N4/10^3,0)</f>
        <v>0</v>
      </c>
      <c r="C32" s="11" t="s">
        <v>135</v>
      </c>
      <c r="D32" s="11" t="e">
        <f>B32/dati!C8</f>
        <v>#DIV/0!</v>
      </c>
      <c r="E32" s="11" t="s">
        <v>136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s="9" customForma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s="9" customFormat="1" x14ac:dyDescent="0.25">
      <c r="A34" s="47" t="s">
        <v>141</v>
      </c>
      <c r="B34" s="11">
        <f>IF(dati!C6="nuova costruzione o ristrutturazione urbanistica o ristrutturazione edilizia con demolizione e ricostruzione",(misura8!B22+misura8!B23+misura8!B32),0)</f>
        <v>0</v>
      </c>
      <c r="C34" s="11" t="s">
        <v>135</v>
      </c>
      <c r="D34" s="11">
        <f>IF(dati!C6="nuova costruzione o ristrutturazione urbanistica o ristrutturazione edilizia con demolizione e ricostruzione",(D32+D23+D22),0)</f>
        <v>0</v>
      </c>
      <c r="E34" s="11" t="s">
        <v>136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s="9" customFormat="1" x14ac:dyDescent="0.25">
      <c r="A35" s="47"/>
      <c r="B35" s="11"/>
      <c r="C35" s="11"/>
      <c r="D35" s="11" t="s">
        <v>140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s="9" customFormat="1" x14ac:dyDescent="0.25">
      <c r="A36" s="4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x14ac:dyDescent="0.25">
      <c r="A37" s="49" t="s">
        <v>147</v>
      </c>
      <c r="B37" s="11"/>
      <c r="C37" s="11" t="str">
        <f>IF(dati!C6="nuova costruzione o ristrutturazione urbanistica o ristrutturazione edilizia con demolizione e ricostruzione",IF((J22+J23+J30)&gt;=1,"si","no"),"no")</f>
        <v>no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 x14ac:dyDescent="0.25">
      <c r="A38" s="4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x14ac:dyDescent="0.25">
      <c r="A39" s="22" t="s">
        <v>118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 x14ac:dyDescent="0.25">
      <c r="A40" s="49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x14ac:dyDescent="0.25">
      <c r="A41" s="49" t="s">
        <v>119</v>
      </c>
      <c r="B41" s="11"/>
      <c r="C41" s="11">
        <f>dati!C137</f>
        <v>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x14ac:dyDescent="0.25">
      <c r="A42" s="49"/>
      <c r="B42" s="11"/>
      <c r="C42" s="11"/>
      <c r="D42" s="16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7" x14ac:dyDescent="0.25">
      <c r="A43" s="6" t="s">
        <v>115</v>
      </c>
      <c r="B43" s="11"/>
      <c r="C43" s="11">
        <f>dati!C139</f>
        <v>0</v>
      </c>
      <c r="D43" s="11" t="s">
        <v>12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 x14ac:dyDescent="0.25">
      <c r="A44" s="52" t="s">
        <v>120</v>
      </c>
      <c r="B44" s="11"/>
      <c r="C44" s="11">
        <f>dati!C140</f>
        <v>0</v>
      </c>
      <c r="D44" s="11" t="s">
        <v>13</v>
      </c>
      <c r="E44" s="11" t="s">
        <v>157</v>
      </c>
      <c r="F44" s="11"/>
      <c r="G44" s="11">
        <f>ROUNDDOWN(C44/N5,0)</f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 x14ac:dyDescent="0.25">
      <c r="A45" s="6" t="s">
        <v>116</v>
      </c>
      <c r="B45" s="11"/>
      <c r="C45" s="11">
        <f>dati!C142</f>
        <v>0</v>
      </c>
      <c r="D45" s="11" t="s">
        <v>12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 x14ac:dyDescent="0.25">
      <c r="A46" s="49" t="s">
        <v>203</v>
      </c>
      <c r="B46" s="11"/>
      <c r="C46" s="11">
        <f>dati!C141</f>
        <v>0</v>
      </c>
      <c r="D46" s="11" t="s">
        <v>12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x14ac:dyDescent="0.25">
      <c r="A47" s="49" t="s">
        <v>143</v>
      </c>
      <c r="B47" s="11">
        <f>IF(C50="si",G44*N6*N7*N8*N11*N3/N4/1000,0)</f>
        <v>0</v>
      </c>
      <c r="C47" s="11" t="s">
        <v>135</v>
      </c>
      <c r="D47" s="11" t="e">
        <f>B47/dati!C8</f>
        <v>#DIV/0!</v>
      </c>
      <c r="E47" s="11" t="s">
        <v>136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x14ac:dyDescent="0.25">
      <c r="A48" s="49" t="s">
        <v>144</v>
      </c>
      <c r="B48" s="11">
        <f>IF(H48&gt;0,IF(C45&gt;=H48,N14*misura1!M5*dati!C8,0),0)</f>
        <v>0</v>
      </c>
      <c r="C48" s="11" t="s">
        <v>135</v>
      </c>
      <c r="D48" s="11" t="e">
        <f>B48/dati!C8</f>
        <v>#DIV/0!</v>
      </c>
      <c r="E48" s="11" t="s">
        <v>136</v>
      </c>
      <c r="F48" s="11"/>
      <c r="G48" s="11"/>
      <c r="H48" s="11">
        <f>ROUNDUP((C43-C46)*N13,0)</f>
        <v>0</v>
      </c>
      <c r="I48" s="11"/>
      <c r="J48" s="11" t="s">
        <v>138</v>
      </c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1:5" x14ac:dyDescent="0.25">
      <c r="A49" s="9"/>
    </row>
    <row r="50" spans="1:5" x14ac:dyDescent="0.25">
      <c r="A50" s="48" t="s">
        <v>149</v>
      </c>
      <c r="C50" t="str">
        <f>IF(dati!C6="restauro o risanamento conservativo o ristrutturazione edilizia",IF(C41="no","si","no"))</f>
        <v>no</v>
      </c>
    </row>
    <row r="52" spans="1:5" x14ac:dyDescent="0.25">
      <c r="A52" s="48" t="s">
        <v>184</v>
      </c>
      <c r="B52">
        <f>B47+B48</f>
        <v>0</v>
      </c>
      <c r="C52" s="11" t="s">
        <v>135</v>
      </c>
      <c r="D52" s="9" t="e">
        <f t="shared" ref="D52" si="1">D47+D48</f>
        <v>#DIV/0!</v>
      </c>
      <c r="E52" s="11" t="s">
        <v>136</v>
      </c>
    </row>
    <row r="57" spans="1:5" x14ac:dyDescent="0.25">
      <c r="A57" s="36" t="s">
        <v>150</v>
      </c>
      <c r="B57" s="14"/>
      <c r="C57" s="14" t="str">
        <f>IF(dati!C6="nuova costruzione o ristrutturazione urbanistica o ristrutturazione edilizia con demolizione e ricostruzione",misura8!C37,misura8!C50)</f>
        <v>no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dati</vt:lpstr>
      <vt:lpstr>misura1</vt:lpstr>
      <vt:lpstr>misura2</vt:lpstr>
      <vt:lpstr>misura3</vt:lpstr>
      <vt:lpstr>misura4</vt:lpstr>
      <vt:lpstr>misura5</vt:lpstr>
      <vt:lpstr>Misura6</vt:lpstr>
      <vt:lpstr>Misura7</vt:lpstr>
      <vt:lpstr>misura8</vt:lpstr>
      <vt:lpstr>dropdownmenus</vt:lpstr>
      <vt:lpstr>dati!_Hlk31123885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Maurizio Amorosini</cp:lastModifiedBy>
  <cp:lastPrinted>2019-03-18T21:52:03Z</cp:lastPrinted>
  <dcterms:created xsi:type="dcterms:W3CDTF">2019-02-25T09:51:44Z</dcterms:created>
  <dcterms:modified xsi:type="dcterms:W3CDTF">2025-09-18T09:54:13Z</dcterms:modified>
</cp:coreProperties>
</file>